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35" windowWidth="12120" windowHeight="8325" tabRatio="807" activeTab="0"/>
  </bookViews>
  <sheets>
    <sheet name="Biểu 01" sheetId="1" r:id="rId1"/>
    <sheet name="PL 02" sheetId="2" r:id="rId2"/>
    <sheet name="Biểu 03" sheetId="3" r:id="rId3"/>
    <sheet name="Biểu 03a" sheetId="4" r:id="rId4"/>
    <sheet name="Biểu 03b" sheetId="5" r:id="rId5"/>
    <sheet name="Biểu 04a" sheetId="6" r:id="rId6"/>
    <sheet name="Biểu o4b " sheetId="7" r:id="rId7"/>
    <sheet name="Biểu 04c" sheetId="8" r:id="rId8"/>
    <sheet name="Biểu 05" sheetId="9" r:id="rId9"/>
    <sheet name="Biểu 06" sheetId="10" r:id="rId10"/>
    <sheet name="Biểu 07" sheetId="11" r:id="rId11"/>
    <sheet name="Biểu 08" sheetId="12" r:id="rId12"/>
    <sheet name="Biểu 09" sheetId="13" r:id="rId13"/>
    <sheet name="Biểu 10" sheetId="14" r:id="rId14"/>
    <sheet name="Biểu 10a" sheetId="15" r:id="rId15"/>
    <sheet name="Biểu 11" sheetId="16" r:id="rId16"/>
    <sheet name="Biểu 12" sheetId="17" r:id="rId17"/>
    <sheet name="Biểu 13" sheetId="18" r:id="rId18"/>
    <sheet name="Biểu 14" sheetId="19" r:id="rId19"/>
    <sheet name="Biểu 15" sheetId="20" r:id="rId20"/>
  </sheets>
  <externalReferences>
    <externalReference r:id="rId23"/>
    <externalReference r:id="rId24"/>
  </externalReferences>
  <definedNames>
    <definedName name="_xlnm.Print_Titles" localSheetId="0">'Biểu 01'!$5:$6</definedName>
    <definedName name="_xlnm.Print_Titles" localSheetId="2">'Biểu 03'!$6:$6</definedName>
    <definedName name="_xlnm.Print_Titles" localSheetId="5">'Biểu 04a'!$6:$9</definedName>
    <definedName name="_xlnm.Print_Titles" localSheetId="7">'Biểu 04c'!$5:$5</definedName>
    <definedName name="_xlnm.Print_Titles" localSheetId="9">'Biểu 06'!$5:$7</definedName>
    <definedName name="_xlnm.Print_Titles" localSheetId="11">'Biểu 08'!$5:$6</definedName>
    <definedName name="_xlnm.Print_Titles" localSheetId="13">'Biểu 10'!$6:$7</definedName>
    <definedName name="_xlnm.Print_Titles" localSheetId="14">'Biểu 10a'!$6:$7</definedName>
    <definedName name="_xlnm.Print_Titles" localSheetId="15">'Biểu 11'!$5:$6</definedName>
    <definedName name="_xlnm.Print_Titles" localSheetId="16">'Biểu 12'!$5:$6</definedName>
    <definedName name="_xlnm.Print_Titles" localSheetId="17">'Biểu 13'!$5:$6</definedName>
    <definedName name="_xlnm.Print_Titles" localSheetId="18">'Biểu 14'!$5:$5</definedName>
    <definedName name="_xlnm.Print_Titles" localSheetId="1">'PL 02'!$5:$7</definedName>
  </definedNames>
  <calcPr fullCalcOnLoad="1"/>
</workbook>
</file>

<file path=xl/sharedStrings.xml><?xml version="1.0" encoding="utf-8"?>
<sst xmlns="http://schemas.openxmlformats.org/spreadsheetml/2006/main" count="1058" uniqueCount="606">
  <si>
    <t>CÔNG TRÌNH, DỰ ÁN CHUYỂN TIẾP</t>
  </si>
  <si>
    <t>CÔNG TRÌNH, DỰ ÁN TRIỂN KHAI NĂM 2016</t>
  </si>
  <si>
    <t>Đại diện 
chủ đầu tư</t>
  </si>
  <si>
    <t>UBND 
Huyện Sông Mã</t>
  </si>
  <si>
    <t>Thị trấn 
Sông Mã</t>
  </si>
  <si>
    <t>Xã 
Nà Nghịu</t>
  </si>
  <si>
    <t>2015 - 2016</t>
  </si>
  <si>
    <t>Biểu số 04a</t>
  </si>
  <si>
    <r>
      <t xml:space="preserve">Tổng cộng
</t>
    </r>
    <r>
      <rPr>
        <sz val="12"/>
        <rFont val="Times New Roman"/>
        <family val="1"/>
      </rPr>
      <t>(Nghìn đồng)</t>
    </r>
  </si>
  <si>
    <r>
      <t xml:space="preserve">Chi hoạt 
động của Trạm khai thác &amp; BVCTTL 
</t>
    </r>
    <r>
      <rPr>
        <sz val="12"/>
        <rFont val="Times New Roman"/>
        <family val="1"/>
      </rPr>
      <t>(Nghìn đồng)</t>
    </r>
  </si>
  <si>
    <r>
      <t xml:space="preserve">Chi cho lao động QLHĐ khai thác thủy nông (Phai kiên cố) </t>
    </r>
    <r>
      <rPr>
        <sz val="12"/>
        <rFont val="Times New Roman"/>
        <family val="1"/>
      </rPr>
      <t>(Nghìn đồng)</t>
    </r>
  </si>
  <si>
    <r>
      <t xml:space="preserve">Chi cho lao động QLHĐ khai thác thủy nông (Phai tạm) 
</t>
    </r>
    <r>
      <rPr>
        <sz val="12"/>
        <rFont val="Times New Roman"/>
        <family val="1"/>
      </rPr>
      <t>(Nghìn đồng)</t>
    </r>
  </si>
  <si>
    <t>CHI CHO HOẠT ĐỘNG CỦA BỘ MÁY</t>
  </si>
  <si>
    <t>CHI CHO LAO ĐỘNG QLHĐ KHAI THÁC THỦY NÔNG</t>
  </si>
  <si>
    <t>Vụ chiêm</t>
  </si>
  <si>
    <t>Vụ mùa</t>
  </si>
  <si>
    <t>Biểu số 04b</t>
  </si>
  <si>
    <t>TRẢ NỢ KLHT NĂM 2015</t>
  </si>
  <si>
    <t>CÔNG TRÌNH THỰC HIỆN NĂM 2016</t>
  </si>
  <si>
    <t>Duy tu, sửa chữa thủy lợi Phai Bua</t>
  </si>
  <si>
    <t>Duy tu, 
sửa chữa</t>
  </si>
  <si>
    <t>Biểu số 04c</t>
  </si>
  <si>
    <t>Xã 
Chiềng Khoong</t>
  </si>
  <si>
    <t>Xã 
Chiềng Sơ</t>
  </si>
  <si>
    <t>Xã 
Chiềng Cang</t>
  </si>
  <si>
    <t>Xã 
Nậm Mằn</t>
  </si>
  <si>
    <t>Xã 
Bó Sinh</t>
  </si>
  <si>
    <t>Xã 
Đứa Mòn</t>
  </si>
  <si>
    <t>Xã 
Mường Lầm</t>
  </si>
  <si>
    <t>PHÒNG KINH TẾ VÀ HẠ TẦNG</t>
  </si>
  <si>
    <t>Mốc D8 - D10 - E2 (46,8 km)</t>
  </si>
  <si>
    <t>Mốc D6 - D7 - D8 (11,1 km)</t>
  </si>
  <si>
    <t>Đường TTBG tuyến nhánh (Mốc D8 - D10 - E2)</t>
  </si>
  <si>
    <t>KINH PHÍ ĐẢM BẢO GIAO THÔNG MÙA MƯA</t>
  </si>
  <si>
    <t>Km 0 + 00</t>
  </si>
  <si>
    <t>Km 8 + 00</t>
  </si>
  <si>
    <t>Km 39 + 300</t>
  </si>
  <si>
    <t>Km 39 + 00</t>
  </si>
  <si>
    <t>Km 15 + 300</t>
  </si>
  <si>
    <t>Km 22 + 00</t>
  </si>
  <si>
    <t>Km 16 + 500</t>
  </si>
  <si>
    <t>Km 19 + 00</t>
  </si>
  <si>
    <t>Km 8 + 470</t>
  </si>
  <si>
    <t>Km 50 + 441</t>
  </si>
  <si>
    <t>Km 46 + 833</t>
  </si>
  <si>
    <t>Km 3 + 500</t>
  </si>
  <si>
    <t>Ghi chú:</t>
  </si>
  <si>
    <t xml:space="preserve">           Mục II - UBND huyện thực hiện phê duyệt và phân bổ chi tiết khi có nhiệm vụ phát sinh trong năm.</t>
  </si>
  <si>
    <t xml:space="preserve">
STT</t>
  </si>
  <si>
    <t>1113/QĐ-UBND
22/7/2015</t>
  </si>
  <si>
    <t>Số, ngày 
tháng năm</t>
  </si>
  <si>
    <t>Chủ 
đầu tư</t>
  </si>
  <si>
    <t>Lũy kế vốn đã bố trí đến ngày 30/11/2015</t>
  </si>
  <si>
    <t>Cầu bản BTCT qua suối Nà Ngần - trường tiểu học Nà Ngần, xã Mường Hung</t>
  </si>
  <si>
    <t>Xã 
Mường Sai</t>
  </si>
  <si>
    <t>Xã 
Mường Hung</t>
  </si>
  <si>
    <t>1514/QĐ-UBND
28/8/2015</t>
  </si>
  <si>
    <t>1515/QĐ-UBND
28/8/2015</t>
  </si>
  <si>
    <t>24/QĐ-QBTĐB
28/8/2015</t>
  </si>
  <si>
    <t>Biểu số 07</t>
  </si>
  <si>
    <t>Biểu số 8</t>
  </si>
  <si>
    <t>SỰ NGHIỆP GIÁO DỤC</t>
  </si>
  <si>
    <t>Phòng giáo dục - văn phòng</t>
  </si>
  <si>
    <t xml:space="preserve"> - Quỹ tiền lương + chi thường xuyên</t>
  </si>
  <si>
    <t>TRUNG TÂM BDCT</t>
  </si>
  <si>
    <t>Mục 8 Phần I - UBND huyện thực hiện phê duyệt và giao chi tiết đối với nhiệm vụ phát sinh trong năm.</t>
  </si>
  <si>
    <t xml:space="preserve">Số 
học sinh, biên chế </t>
  </si>
  <si>
    <t>Bổ sung 
tiền lương</t>
  </si>
  <si>
    <t xml:space="preserve">Trung tâm Y tế </t>
  </si>
  <si>
    <r>
      <t xml:space="preserve">Văn phòng Huyện ủy </t>
    </r>
    <r>
      <rPr>
        <i/>
        <sz val="12"/>
        <rFont val="Times New Roman"/>
        <family val="1"/>
      </rPr>
      <t>- Ban chăm sóc bảo vệ sức khoẻ</t>
    </r>
  </si>
  <si>
    <t>CHI SỰ NGHIỆP VĂN HÓA - THỂ THAO</t>
  </si>
  <si>
    <t xml:space="preserve"> - Kinh phí tổ chức hoạt động văn hóa - thể thao tại huyện, tỉnh; kinh phí đội tuyên truyền lưu động…</t>
  </si>
  <si>
    <t>Phòng văn hóa TT - TT</t>
  </si>
  <si>
    <t>SỰ NGHIỆP TRUYỀN THANH - TRUYỀN HÌNH</t>
  </si>
  <si>
    <t>KP thực hiện Nghị định số 13/NĐ-CP</t>
  </si>
  <si>
    <t>Trung tâm Y tế huyện</t>
  </si>
  <si>
    <t>KP thăm hỏi, tặng quà người cao tuổi theo Thông tư số 21/TT-BTC</t>
  </si>
  <si>
    <r>
      <t xml:space="preserve"> Ghi chú: </t>
    </r>
    <r>
      <rPr>
        <sz val="13"/>
        <rFont val="Times New Roman"/>
        <family val="1"/>
      </rPr>
      <t>Mục 3.1, 5.1, 5.2 UBND huyện thực hiện giao chi tiết sau khi phê duyệt danh sách, đối tượng được hưởng và hồ sơ, nhiệm vụ cụ thể phát sinh.</t>
    </r>
  </si>
  <si>
    <t xml:space="preserve">                  Mục 5.2 UBND huyện thực hiện giao chi tiết sau khi có quyết định công nhận xã, bản đạt tiêu chuẩn không có ma túy, cơ bản đạt tiêu chuẩn 4 không về ma túy.</t>
  </si>
  <si>
    <t xml:space="preserve">                  Mục 6, 7 UBND huyện thực hiện phê duyệt và giao chi tiết đối với dự phòng nhiệm vụ phát sinh.</t>
  </si>
  <si>
    <t>KINH PHÍ HUYỆN ỦY</t>
  </si>
  <si>
    <t xml:space="preserve"> - Kinh phí hoạt động của Ban Chỉ đạo 2118</t>
  </si>
  <si>
    <t xml:space="preserve"> - Các khoản phụ cấp: BCH + BCV + cấp ủy</t>
  </si>
  <si>
    <t>CHI QUẢN LÝ NHÀ NƯỚC CẤP HUYỆN</t>
  </si>
  <si>
    <t xml:space="preserve"> - Tăng kinh phí hoạt động (Tổ chức kỷ niệm 85 năm ngày thành lập Đoàn TNCS; tổ chức Hội thi cán bộ Đoàn giỏi năm 2016; tổ chức Đại hội cháu ngoan Bác Hồ ( 2016 - 2018); tổ chức kỷ niệm 65 năm ngày thành lập Hội LHTN VN; các hoạt động khác…)</t>
  </si>
  <si>
    <t xml:space="preserve"> - Tăng kinh phí hoạt động (Tổ chức Hội nghị tổng kết công tác kinh tế 5 năm (2011 - 2016); tổ chức hội thi Chủ tịch Hội Cựu chiến binh cơ sở giỏi; các hoạt động khác…)</t>
  </si>
  <si>
    <t xml:space="preserve"> - Tăng kinh phí hoạt động (Tổ chức Đại hội Hội LHPN huyện (2016 - 2021); tổ chức Hội nghị tuyên truyền Nghị quyết Đại hội các cấp; các hoạt động khác…)</t>
  </si>
  <si>
    <t xml:space="preserve"> - Tăng kinh phí hoạt động (Tổ chức Hội nghị tổng kết Nghị quyết Đại hội IV Hội NCT VN nhiệm kỳ 2011 - 2016), tiến tới Đại hội V Hội NCT Việt Nam nhiệm kỳ 2016 - 2021; tham gia hội thao cấp tỉnh; các hoạt động khác…)</t>
  </si>
  <si>
    <t xml:space="preserve"> - Tăng kinh phí hoạt động (Tổ chức Đại hội Hội cựu TNXP huyện nhiệm kỳ 2016 - 2021; các hoạt động khác…)</t>
  </si>
  <si>
    <r>
      <t>Trung tâm bồi dưỡng chính trị</t>
    </r>
    <r>
      <rPr>
        <i/>
        <sz val="14"/>
        <rFont val="Times New Roman"/>
        <family val="1"/>
      </rPr>
      <t xml:space="preserve"> (Kinh phí tập huấn bồi dưỡng kiến thức quốc phòng đối tượng 3, 4)</t>
    </r>
  </si>
  <si>
    <t>Chi nhiệm vụ an ninh - quốc phòng khác</t>
  </si>
  <si>
    <t>Chi đối ngoại</t>
  </si>
  <si>
    <t>Kinh phí công tác biên giới; bảo vệ mốc giới</t>
  </si>
  <si>
    <r>
      <t xml:space="preserve">Văn phòng Huyện ủy </t>
    </r>
    <r>
      <rPr>
        <i/>
        <sz val="14"/>
        <rFont val="Times New Roman"/>
        <family val="1"/>
      </rPr>
      <t>(Chi công tác BG, bảo vệ mốc giới)</t>
    </r>
  </si>
  <si>
    <t>Nguồn thực hiện cải cách tiền lương Nghị định số 22/NĐ-CP, Nghị định số 31/NĐ-CP, Nghị định số 66/NĐ-CP</t>
  </si>
  <si>
    <t>Hỗ trợ sinh  hoạt phí đối với Ủy viên UBMTTQ theo Quyết định 33/2014/QĐ-TTg</t>
  </si>
  <si>
    <t>Chi 
thường xuyên</t>
  </si>
  <si>
    <t>STT</t>
  </si>
  <si>
    <t>Tổng số</t>
  </si>
  <si>
    <t>I</t>
  </si>
  <si>
    <t>II</t>
  </si>
  <si>
    <t>III</t>
  </si>
  <si>
    <t>Trong đó</t>
  </si>
  <si>
    <t>Thị trấn</t>
  </si>
  <si>
    <t>Bó Sinh</t>
  </si>
  <si>
    <t>Chiềng Phung</t>
  </si>
  <si>
    <t>Chiềng En</t>
  </si>
  <si>
    <t>Mường Lầm</t>
  </si>
  <si>
    <t>Nậm Ty</t>
  </si>
  <si>
    <t>Đứa Mòn</t>
  </si>
  <si>
    <t>Yên Hưng</t>
  </si>
  <si>
    <t>Chiềng Sơ</t>
  </si>
  <si>
    <t>Nà Nghịu</t>
  </si>
  <si>
    <t>Nậm Mằn</t>
  </si>
  <si>
    <t>Chiềng Khoong</t>
  </si>
  <si>
    <t>Chiềng Cang</t>
  </si>
  <si>
    <t>Huổi Một</t>
  </si>
  <si>
    <t>Mường Sai</t>
  </si>
  <si>
    <t>Mường Cai</t>
  </si>
  <si>
    <t>Mường Hung</t>
  </si>
  <si>
    <t>Chiềng Khương</t>
  </si>
  <si>
    <t>Nội dung</t>
  </si>
  <si>
    <t>Từ nguồn thu cấp quyền sử dụng đất</t>
  </si>
  <si>
    <t>Chi đầu tư XDCB tập trung</t>
  </si>
  <si>
    <t>Chi sự nghiệp kinh tế</t>
  </si>
  <si>
    <t>Chi đảm bảo xã hội</t>
  </si>
  <si>
    <t>Chi quản lý hành chính</t>
  </si>
  <si>
    <t>Chi khác ngân sách</t>
  </si>
  <si>
    <t xml:space="preserve"> - Kinh phí hoạt động trung tâm giáo dục lao động huyện</t>
  </si>
  <si>
    <t>a</t>
  </si>
  <si>
    <t>b</t>
  </si>
  <si>
    <t>c</t>
  </si>
  <si>
    <t xml:space="preserve"> - Kinh phí phổ biến tuyên truyền pháp luật </t>
  </si>
  <si>
    <t>d</t>
  </si>
  <si>
    <t>e</t>
  </si>
  <si>
    <t xml:space="preserve"> - Kinh phí cuộc VĐTDDKXD ĐS khu dân cư</t>
  </si>
  <si>
    <t xml:space="preserve"> - Kinh phí mua sắm TSCĐ các đoàn thể, hội cấp huyện</t>
  </si>
  <si>
    <t xml:space="preserve"> - Chi đảm bảo an toàn giao thông</t>
  </si>
  <si>
    <t xml:space="preserve"> </t>
  </si>
  <si>
    <t>Pú Bẩu</t>
  </si>
  <si>
    <t>Chi thường xuyên</t>
  </si>
  <si>
    <t xml:space="preserve"> - Tăng kinh phí hoạt động MTTQ và các đoàn thể</t>
  </si>
  <si>
    <t>Phòng Tư pháp</t>
  </si>
  <si>
    <t xml:space="preserve"> - Kinh phí chi thường xuyên</t>
  </si>
  <si>
    <t>Ghi chú</t>
  </si>
  <si>
    <t>B</t>
  </si>
  <si>
    <t>A</t>
  </si>
  <si>
    <t>Phòng Nông nghiệp &amp; PTNT</t>
  </si>
  <si>
    <t xml:space="preserve"> - Chi thường xuyên</t>
  </si>
  <si>
    <t>Đơn vị tính: Nghìn đồng</t>
  </si>
  <si>
    <t>Theo định mức</t>
  </si>
  <si>
    <t xml:space="preserve">Phòng Nội vụ </t>
  </si>
  <si>
    <t>Phòng Y tế</t>
  </si>
  <si>
    <t>Hội Cựu chiến binh</t>
  </si>
  <si>
    <t>Hội Nông dân</t>
  </si>
  <si>
    <t xml:space="preserve"> Chi sự nghiệp Giáo dục</t>
  </si>
  <si>
    <t>Chi sự nghiệp Y tế phòng chống dịch</t>
  </si>
  <si>
    <t>Chi Trung tâm chính trị</t>
  </si>
  <si>
    <t xml:space="preserve"> - Chi sự nghiệp kinh tế khác</t>
  </si>
  <si>
    <t>NỘI DUNG</t>
  </si>
  <si>
    <t>Trích quỹ thi đua khen thưởng</t>
  </si>
  <si>
    <t xml:space="preserve">Phòng  Tài chính - KH </t>
  </si>
  <si>
    <t xml:space="preserve">Phòng Lao động - TBXH </t>
  </si>
  <si>
    <t>Phòng Tài nguyên -MT</t>
  </si>
  <si>
    <t>Phòng Văn hoá</t>
  </si>
  <si>
    <t>Uỷ ban Mặt trận tổ quốc</t>
  </si>
  <si>
    <t xml:space="preserve">Đoàn thanh niên </t>
  </si>
  <si>
    <t>Hội Liên hiệp phụ nữ</t>
  </si>
  <si>
    <t>IV</t>
  </si>
  <si>
    <t>V</t>
  </si>
  <si>
    <t>Văn phòng Huyện uỷ</t>
  </si>
  <si>
    <t>VI</t>
  </si>
  <si>
    <t>VII</t>
  </si>
  <si>
    <t>VIII</t>
  </si>
  <si>
    <t>Y tế xã</t>
  </si>
  <si>
    <t>IX</t>
  </si>
  <si>
    <t>X</t>
  </si>
  <si>
    <t>Trung tâm GDLĐ</t>
  </si>
  <si>
    <t xml:space="preserve"> - Kinh phí công tác biên giới; Bảo vệ mốc giới</t>
  </si>
  <si>
    <t>Dự phòng</t>
  </si>
  <si>
    <t>Tên xã, thị trấn</t>
  </si>
  <si>
    <t>Tổng thu ngân sách</t>
  </si>
  <si>
    <t>Tổng chi ngân sách</t>
  </si>
  <si>
    <t>Bổ sung CĐNS</t>
  </si>
  <si>
    <t>Đơn vị: Nghìn đồng</t>
  </si>
  <si>
    <t>XI</t>
  </si>
  <si>
    <t>Tên đơn vị</t>
  </si>
  <si>
    <t>Chi đầu tư phát triển</t>
  </si>
  <si>
    <t xml:space="preserve">Chi thường xuyên </t>
  </si>
  <si>
    <t>Tổng 
số</t>
  </si>
  <si>
    <t>Vốn
XDCB</t>
  </si>
  <si>
    <t>Nguồn thu CQSDĐ</t>
  </si>
  <si>
    <t>Quản lý hành chính</t>
  </si>
  <si>
    <t>Giáo dục đào tạo</t>
  </si>
  <si>
    <t>Y tế</t>
  </si>
  <si>
    <t>Sự nghiệp kinh tế</t>
  </si>
  <si>
    <t>Đảm bảo xã hội</t>
  </si>
  <si>
    <t>Các khoản còn lại</t>
  </si>
  <si>
    <t>Văn phòng HĐND - UBND</t>
  </si>
  <si>
    <t>Phòng Tài chính - Kế hoạch</t>
  </si>
  <si>
    <t xml:space="preserve">Phòng Tư pháp </t>
  </si>
  <si>
    <t>Phòng Nội vụ</t>
  </si>
  <si>
    <t>Mặt trận tổ quốc</t>
  </si>
  <si>
    <t>Đoàn thanh niên</t>
  </si>
  <si>
    <t>Hội phụ nữ</t>
  </si>
  <si>
    <t>Hội nông dân</t>
  </si>
  <si>
    <t>Cựu chiến binh</t>
  </si>
  <si>
    <t xml:space="preserve">Trung tâm chính trị </t>
  </si>
  <si>
    <t>Sự nghiệp giáo dục</t>
  </si>
  <si>
    <t>Bệnh viện đa khoa huyện</t>
  </si>
  <si>
    <t>Chi an ninh quốc phòng</t>
  </si>
  <si>
    <t>Khối Đảng, Đoàn thể</t>
  </si>
  <si>
    <t>Công an huyện</t>
  </si>
  <si>
    <t>BCH Quân sự huyện</t>
  </si>
  <si>
    <t>Dự phòng ngân sách</t>
  </si>
  <si>
    <t>XII</t>
  </si>
  <si>
    <t>XIII</t>
  </si>
  <si>
    <t>Thu ngân sách trên địa bàn (điều tiết)</t>
  </si>
  <si>
    <t xml:space="preserve"> - Chi sự nghiệp kiến thiết thị chính</t>
  </si>
  <si>
    <t>TT Y tế huyện</t>
  </si>
  <si>
    <t>Chi đảm bảo an toàn giao thông</t>
  </si>
  <si>
    <t xml:space="preserve"> - Chi sự nghiệp môi trường</t>
  </si>
  <si>
    <t xml:space="preserve"> - Hỗ trợ túi thuốc y tế bản ĐBKK</t>
  </si>
  <si>
    <t xml:space="preserve"> - Chi đảm bảo xã hội</t>
  </si>
  <si>
    <t>Kinh phí Huyện ủy</t>
  </si>
  <si>
    <t>Quỹ tiền lương</t>
  </si>
  <si>
    <t>Phòng Kinh tế và Hạ tầng</t>
  </si>
  <si>
    <t>Phòng Dân tộc</t>
  </si>
  <si>
    <t>Bệnh viện đa khoa</t>
  </si>
  <si>
    <t>Số bổ sung cân đối từ ngân sách huyện cho ngân sách xã</t>
  </si>
  <si>
    <t>Chi theo mục tiêu</t>
  </si>
  <si>
    <t>Chi sự nghiệp truyền thanh truyền hình</t>
  </si>
  <si>
    <t>Định mức</t>
  </si>
  <si>
    <t>Nguồn thực hiện CCTL</t>
  </si>
  <si>
    <t xml:space="preserve"> - Bệnh viện đa khoa</t>
  </si>
  <si>
    <t xml:space="preserve"> - Phòng khám đa khoa khu vực</t>
  </si>
  <si>
    <t>Phòng Kinh tế &amp; Hạ tầng</t>
  </si>
  <si>
    <t>KP hỗ trợ ĐV đạt tiêu chuẩn không có MT</t>
  </si>
  <si>
    <t>Biên chế</t>
  </si>
  <si>
    <t xml:space="preserve"> - Kinh phí đào tạo, bồi dưỡng</t>
  </si>
  <si>
    <t xml:space="preserve"> - KP thực hiện cuộc VĐTD ĐKXD ĐS dân cư</t>
  </si>
  <si>
    <t xml:space="preserve"> - Kinh phí thực hiện chính sách phòng chống ma tuý</t>
  </si>
  <si>
    <t xml:space="preserve"> - Kinh phí hỗ trợ các đơn vị đạt tiêu chuẩn không có ma tuý</t>
  </si>
  <si>
    <t xml:space="preserve"> - KP chỉ đạo "Học tập và làm theo tấm gương đạo đức HCM"</t>
  </si>
  <si>
    <t xml:space="preserve"> - Trích quỹ thi đua khen thưởng</t>
  </si>
  <si>
    <t xml:space="preserve"> - Kinh phí mua trang thiết bị y tế</t>
  </si>
  <si>
    <t xml:space="preserve"> - Ban Chăm sóc bảo vệ sức khỏe huyện</t>
  </si>
  <si>
    <t xml:space="preserve"> - KP tuyên truyền kỷ niệm các ngày lễ lớn…</t>
  </si>
  <si>
    <t xml:space="preserve"> - Kinh phí giải quyết tranh chấp đất đai</t>
  </si>
  <si>
    <t>Bổ sung tiền lương</t>
  </si>
  <si>
    <t>Bậc Mầm non</t>
  </si>
  <si>
    <t>Bậc Tiểu học</t>
  </si>
  <si>
    <t>Bậc Trung học cơ sở</t>
  </si>
  <si>
    <t xml:space="preserve"> - Hỗ trợ túi thuốc bản ĐBKK</t>
  </si>
  <si>
    <t xml:space="preserve"> - Quỹ tiền lương</t>
  </si>
  <si>
    <t>CHI SỰ NGHIỆP VĂN HÓA - THỂ THAO VÀ TRUYỀN THANH TRUYỀN HÌNH</t>
  </si>
  <si>
    <t>Trung tâm Văn hóa - Thể thao</t>
  </si>
  <si>
    <t xml:space="preserve"> - Kinh phí tuyên truyền kỷ niệm các ngày lễ lớn</t>
  </si>
  <si>
    <t>Bổ sung tiền lương, phụ cấp</t>
  </si>
  <si>
    <t>Trung tâm GDLĐ huyện</t>
  </si>
  <si>
    <t>Phòng Lao động - TBXH</t>
  </si>
  <si>
    <t>Kinh phí hỗ trợ các đơn vị đạt tiêu chuẩn không có ma tuý</t>
  </si>
  <si>
    <t xml:space="preserve"> - Kinh phí Ban Chỉ đạo tái định cư</t>
  </si>
  <si>
    <t xml:space="preserve"> - Sinh hoạt phí Đại biểu HĐND</t>
  </si>
  <si>
    <t xml:space="preserve"> - Kinh phí BCĐ xây dựng nông thôn mới</t>
  </si>
  <si>
    <t>Thanh tra huyện</t>
  </si>
  <si>
    <t>Kinh phí Đoàn thể, Hội cấp huyện</t>
  </si>
  <si>
    <t xml:space="preserve"> - KP mua sắm TSCĐ</t>
  </si>
  <si>
    <t>Ban Đại diện Hội người cao tuổi</t>
  </si>
  <si>
    <t>Hội Cựu Thanh niên xung phong</t>
  </si>
  <si>
    <t>Văn phòng Huyện ủy</t>
  </si>
  <si>
    <t>Trung tâm văn hóa TT</t>
  </si>
  <si>
    <t>Đài Truyền thanh - Truyền hình</t>
  </si>
  <si>
    <t>Dự phòng ĐBXH</t>
  </si>
  <si>
    <t>Khối Đảng</t>
  </si>
  <si>
    <t>Kinh phí giải quyết tranh chấp đất đai</t>
  </si>
  <si>
    <t xml:space="preserve"> - Chi phát triển giao thông nông thôn</t>
  </si>
  <si>
    <t xml:space="preserve"> - Các chế độ, chính sách giáo viên tăng thêm SN Giáo dục</t>
  </si>
  <si>
    <t>Kinh phí thực hiện Quyết định số 102/QĐ-TTg</t>
  </si>
  <si>
    <t xml:space="preserve"> - Kinh phí hoạt động của HĐND</t>
  </si>
  <si>
    <t>Thu bổ sung từ ngân sách cấp trên</t>
  </si>
  <si>
    <t xml:space="preserve"> KP thực hiện cuộc VĐTD ĐKXD ĐS dân cư</t>
  </si>
  <si>
    <t>Biểu số 05</t>
  </si>
  <si>
    <t>Biểu số 06</t>
  </si>
  <si>
    <t>Biểu số 08</t>
  </si>
  <si>
    <t>Biểu số 09</t>
  </si>
  <si>
    <t>Trong đó: + Kinh phí công tác quy hoạch, giao đất, kiểm kê đất đai</t>
  </si>
  <si>
    <t>Trung tâm dạy nghề</t>
  </si>
  <si>
    <t>Số biên chế, giường bệnh</t>
  </si>
  <si>
    <t>Đơn vị quản lý kinh phí</t>
  </si>
  <si>
    <t>Kinh phí triển khai cuộc vận động "Toàn dân tham gia đấu tranh phòng, chống tội phạm và tệ nạn xã hội, đảm bảo an ninh trật tự" tại xã Chiềng Khương</t>
  </si>
  <si>
    <t>Biểu số 10</t>
  </si>
  <si>
    <t>1.1</t>
  </si>
  <si>
    <t>1.2</t>
  </si>
  <si>
    <t>KP phòng chống ma túy (cai nghiện ma túy)</t>
  </si>
  <si>
    <t>2.1</t>
  </si>
  <si>
    <t>2.2</t>
  </si>
  <si>
    <t>Chi Đảm bảo xã hội</t>
  </si>
  <si>
    <t xml:space="preserve"> - Thăm hỏi đối tượng chính sách nhân dịp tết nguyên đán </t>
  </si>
  <si>
    <t xml:space="preserve"> - Thăm hỏi đối tượng chính sách nhân ngày 27/7</t>
  </si>
  <si>
    <t xml:space="preserve"> - Chi ĐBXH khác</t>
  </si>
  <si>
    <t xml:space="preserve">Phòng Dân tộc </t>
  </si>
  <si>
    <t>3.1</t>
  </si>
  <si>
    <t>Chế độ đối với người có uy tín trong đồng bào dân tộc thiểu số theo Quyết định số 18/QĐ-TTg</t>
  </si>
  <si>
    <t>3.2</t>
  </si>
  <si>
    <t>4.1</t>
  </si>
  <si>
    <t>UBND các xã, thị trấn</t>
  </si>
  <si>
    <t>Dự phòng KP phòng chống ma túy</t>
  </si>
  <si>
    <t>Dự phòng kinh phí phòng chống ma túy</t>
  </si>
  <si>
    <t xml:space="preserve"> - Chi An ninh - Quốc phòng khác</t>
  </si>
  <si>
    <t>Tên công trình</t>
  </si>
  <si>
    <t>Thời gian khởi công hoàn thành</t>
  </si>
  <si>
    <t>Tổng mức đầu tư</t>
  </si>
  <si>
    <t>Bao gồm cả quỹ thi đua khen thưởng</t>
  </si>
  <si>
    <t>Văn phòng HĐND-UBND</t>
  </si>
  <si>
    <t>Kinh phí Đoàn thể, hội cấp huyện</t>
  </si>
  <si>
    <t xml:space="preserve"> - Trợ cấp nước sinh hoạt theo Nghị quyết số 93/2014/NQ-HĐND</t>
  </si>
  <si>
    <t xml:space="preserve"> - Kinh phí hỗ trợ cước vận chuyển theo Quyết định số 36/QĐ-TTg</t>
  </si>
  <si>
    <t xml:space="preserve"> - Kinh phí thực hiện chính sách Nghị quyết số 82/2014/NQ-HĐND</t>
  </si>
  <si>
    <t xml:space="preserve"> - Bổ sung kinh phí công tác đối ngoại ngoài định mức </t>
  </si>
  <si>
    <t>Dự phòng ngân sách huyện</t>
  </si>
  <si>
    <t xml:space="preserve"> - Hỗ trợ cước vận chuyển theo Quyết định số 36/QĐ-TTg</t>
  </si>
  <si>
    <t>Trung tâm dạy nghề huyện</t>
  </si>
  <si>
    <t xml:space="preserve"> - KP hoạt động của BCĐ phong trào TDĐKXD ĐS văn hoá</t>
  </si>
  <si>
    <t xml:space="preserve"> - BCĐ phát triển KTXH Huổi một</t>
  </si>
  <si>
    <t>Đồn biên phòng Mường Cai</t>
  </si>
  <si>
    <t>Đồn biên phòng Chiềng Khương</t>
  </si>
  <si>
    <t>Bậc THCS</t>
  </si>
  <si>
    <t>Kinh phí tham quan học tập kinh nghiệm</t>
  </si>
  <si>
    <t>Kinh phí bảo vệ rừng mùa khô hanh</t>
  </si>
  <si>
    <t>Sự nghiệp kinh tế khác</t>
  </si>
  <si>
    <t xml:space="preserve">Văn phòng đăng ký quyền sử dụng đất </t>
  </si>
  <si>
    <t>Hội ngành nghề nông nghiệp - nông thôn</t>
  </si>
  <si>
    <t>VP đăng ký quyền SD đất</t>
  </si>
  <si>
    <t>Chủ đầu tư</t>
  </si>
  <si>
    <t>Địa điểm xây dựng</t>
  </si>
  <si>
    <t>Quyết định đầu tư</t>
  </si>
  <si>
    <t>Lũy kế vốn đã bố trí</t>
  </si>
  <si>
    <t>Nhu cầu vốn để hoàn thành dự án</t>
  </si>
  <si>
    <t>Phòng Kinh tế &amp; Hạ tầng huyện</t>
  </si>
  <si>
    <t xml:space="preserve">Phần kinh phí quản lý, khai thác công trình thuỷ lợi </t>
  </si>
  <si>
    <t>Tên xã</t>
  </si>
  <si>
    <t>Diện tích các công trình phụ trách tưới (ha)</t>
  </si>
  <si>
    <t xml:space="preserve">Kinh phí quản lý, khai thác công trình thuỷ lợi </t>
  </si>
  <si>
    <t>Phai kiên cố (ha)</t>
  </si>
  <si>
    <t>Phai tạm (ha)</t>
  </si>
  <si>
    <t>NTTS</t>
  </si>
  <si>
    <t>9=10+11+12</t>
  </si>
  <si>
    <t xml:space="preserve">Phần kinh phí duy tu, sửa chữa thường xuyên các công trình thuỷ lợi </t>
  </si>
  <si>
    <t>Hình thức 
đầu tư</t>
  </si>
  <si>
    <t>Địa điểm 
xây dựng</t>
  </si>
  <si>
    <t>Hiệu ích tưới, tiêu
(ha)</t>
  </si>
  <si>
    <t>Trạm khai thác &amp; BVCTTL</t>
  </si>
  <si>
    <t>Điểm đầu</t>
  </si>
  <si>
    <t>Điểm cuối</t>
  </si>
  <si>
    <t>Số Km</t>
  </si>
  <si>
    <t>Đường GTNT Nà Nghịu - Chiềng Phung</t>
  </si>
  <si>
    <t>Đường GTNT Huổi Một - Nậm Mằn</t>
  </si>
  <si>
    <t>Đường GTNT Chiềng Phung - Mường Lầm</t>
  </si>
  <si>
    <t>Đường GTNT Mường Cai - Mường Lạn (Địa phận huyện Sông Mã)</t>
  </si>
  <si>
    <t>Đường Chiềng Sơ - Púng Khương</t>
  </si>
  <si>
    <t>Đường tuần tra biên giới (Tuyến chính)</t>
  </si>
  <si>
    <t>Danh mục công trình</t>
  </si>
  <si>
    <t>Xã Bó Sinh</t>
  </si>
  <si>
    <t>Đơn vị quản lý, thực hiện</t>
  </si>
  <si>
    <t xml:space="preserve">Quan trắc môi trường </t>
  </si>
  <si>
    <t>Phòng Tài nguyên - Môi trường</t>
  </si>
  <si>
    <t>Biểu số 11</t>
  </si>
  <si>
    <t>Biểu số 12</t>
  </si>
  <si>
    <t>Biểu số 13</t>
  </si>
  <si>
    <t>Biểu số 14</t>
  </si>
  <si>
    <t>Biểu số 04a, 04b</t>
  </si>
  <si>
    <t>Biểu số 03, 03a, 03b</t>
  </si>
  <si>
    <t>XIV</t>
  </si>
  <si>
    <t>Dự toán năm 2016</t>
  </si>
  <si>
    <t xml:space="preserve"> - Kinh phí hoạt động của Trung tâm giáo dục cộng đồng</t>
  </si>
  <si>
    <t xml:space="preserve"> - Kinh phí thực hiện chính sách đối với người khuyết tật theo NĐ 28</t>
  </si>
  <si>
    <t xml:space="preserve"> - Kinh phí mua sắm trang thiết bị</t>
  </si>
  <si>
    <t xml:space="preserve"> - Kinh phí sửa chữa trường lớp học</t>
  </si>
  <si>
    <t xml:space="preserve"> - Trung tâm dạy nghề huyện</t>
  </si>
  <si>
    <t xml:space="preserve"> - KP tiết kiệm 10% chi thường xuyên</t>
  </si>
  <si>
    <t xml:space="preserve"> - KP sửa chữa hệ thống xử lý chất thải lỏng tại Bệnh viện Đa khoa huyện Sông Mã</t>
  </si>
  <si>
    <t xml:space="preserve"> - KP hỗ trợ đầu tư XD thiết chế văn hoá cơ sở</t>
  </si>
  <si>
    <t xml:space="preserve"> - KP hỗ trợ tiền điện cho hộ nghèo, hộ chính sách xã hội</t>
  </si>
  <si>
    <t xml:space="preserve">  - Kinh phí bầu cử HĐND</t>
  </si>
  <si>
    <t xml:space="preserve"> - Sinh hoạt phí đại biểu HĐND</t>
  </si>
  <si>
    <t>Các khoản chi thường xuyên cấp xã</t>
  </si>
  <si>
    <t xml:space="preserve"> - KP thực hiện các chế độ, nhiệm vụ khác</t>
  </si>
  <si>
    <t>Chi An ninh - Quốc phòng</t>
  </si>
  <si>
    <t xml:space="preserve"> - Kinh phí chuyển hóa địa bàn trọng điểm, phức tạp về ANTT</t>
  </si>
  <si>
    <t xml:space="preserve"> - Hỗ trợ đồn biên phòng Mường Cai</t>
  </si>
  <si>
    <t xml:space="preserve"> - Hỗ trợ đồn biên phòng Chiềng Khương</t>
  </si>
  <si>
    <t>Hỗ trợ các hoạt động văn hóa bản, tiểu khu, tổ dân phố</t>
  </si>
  <si>
    <t>Kinh phí diễn tập PPCC rừng (1 xã)</t>
  </si>
  <si>
    <t>Sửa chữa đèn đường, chi phí tiền điện, các hoạt động KTTC khác</t>
  </si>
  <si>
    <t>Kinh phí thực hiện công trình: Chỉnh trang hệ thống chiếu sáng đô thị huyện Sông Mã (giai đoạn II)</t>
  </si>
  <si>
    <t>Kinh phí thực hiện Đồ án quy hoạch chi tiết tỷ lệ 1/500 khu đô thị Quyết Tiến (Bản Quyết Thắng, bản Quyết tiến, xã Nà Nghịu) thị trấn Sông Mã, huyện Sông Mã, tỉnh Sơn La theo đồ án điều chỉnh mở rộng quy hoạch chung xây dựng thị trấn Sông Mã, huyện Sông Mã, tỉnh Sơn La đến năm 2020 và tầm nhìn đến năm 2025</t>
  </si>
  <si>
    <t>Kinh phí thực hiện dự án: Lập kế hoạch sử dụng đất năm 2016 huyện Sông Mã, tỉnh Sơn La</t>
  </si>
  <si>
    <t>Kinh phí thực hiện công trình: Kênh thoát lũ đường nội thị Lý Tự Trọng (Đường Hin Phon) thị trấn Sông Mã, huyện Sông Mã</t>
  </si>
  <si>
    <t>Sự nghiệp Nông - Lâm nghiệp, sự nghiệp kiến thiết thị chính và Sự nghiệp kinh tế khác</t>
  </si>
  <si>
    <t>Bổ sung kinh phí hoạt động</t>
  </si>
  <si>
    <t>Tên công trình, dự án</t>
  </si>
  <si>
    <t>Địa điểm thực hiện</t>
  </si>
  <si>
    <t>Tổng KP thực hiện</t>
  </si>
  <si>
    <t>Kinh phí giao năm 2016</t>
  </si>
  <si>
    <t>Sự nghiệp kiến thiết thị chính</t>
  </si>
  <si>
    <t>Sự nghiệp môi trường</t>
  </si>
  <si>
    <t>Công trình: Chỉnh trang hệ thống chiếu sáng đô thị huyện Sông Mã (giai đoạn II)</t>
  </si>
  <si>
    <t>Đồ án quy hoạch chi tiết tỷ lệ 1/500 khu đô thị Quyết Tiến (Bản Quyết Thắng, bản Quyết tiến, xã Nà Nghịu) thị trấn Sông Mã, huyện Sông Mã, tỉnh Sơn La theo đồ án điều chỉnh mở rộng quy hoạch chung xây dựng thị trấn Sông Mã, huyện Sông Mã, tỉnh Sơn La đến năm 2020 và tầm nhìn đến năm 2025</t>
  </si>
  <si>
    <t>Xã Nà Nghịu</t>
  </si>
  <si>
    <t>Công trình: Kênh thoát lũ đường nội thị Lý Tự Trọng (Đường Hin Phon) thị trấn Sông Mã, huyện Sông Mã</t>
  </si>
  <si>
    <t xml:space="preserve">BQLDA huyện </t>
  </si>
  <si>
    <t>Dự án: Lập kế hoạch sử dụng đất năm 2016 huyện Sông Mã, tỉnh Sơn La</t>
  </si>
  <si>
    <t>Phòng Tài nguyên &amp; MT huyện</t>
  </si>
  <si>
    <t>2015</t>
  </si>
  <si>
    <t>Dự toán được duyệt, khái toán</t>
  </si>
  <si>
    <t>Lũy kế KLHT</t>
  </si>
  <si>
    <t>Lũy kế kinh phí đã bố trí</t>
  </si>
  <si>
    <t>Nâng cấp sửa chữa thủy lợi bản Pát, xã Bó Sinh</t>
  </si>
  <si>
    <t>Thủy lợi Huổi Bon, bản Bon, xã Nà Nghịu</t>
  </si>
  <si>
    <t>Thủy lợi Phai Phát, bản Đứa Mòn, xã Đứa Mòn</t>
  </si>
  <si>
    <t>Xã Đứa Mòn</t>
  </si>
  <si>
    <t>Nâng cấp thủy lợi phai hoi, bản Lè, xã Chiềng Khoong</t>
  </si>
  <si>
    <t>Nâng cấp thủy lợi phai Nà Mạng, bản Thắng Lợi, xã Chiềng Sơ</t>
  </si>
  <si>
    <t>Nâng cấp thủy lợi phai Tạo, bản Chiềng Xôm, xã Chiềng Cang</t>
  </si>
  <si>
    <t>Duy tu sửa chữa cụm thủy lợi bản Chạy - Phiêng Pé, xã Nậm Mằn</t>
  </si>
  <si>
    <t>Thủy lợi Mương Vả, bản Phèn xã Mường Lầm</t>
  </si>
  <si>
    <t>Thủy lợi Phiêng Mun, bản Thắng Lợi, xã Chiềng Sơ</t>
  </si>
  <si>
    <t>Thủy lợi Nà Hì, bản Nà Hì, xã Chiềng Cang</t>
  </si>
  <si>
    <t>Đường GTNT Mường Lầm - Đứa Mòn</t>
  </si>
  <si>
    <t>Cầu treo qua suối Nậm Lẹ, bản Kỳ Nình, xã Mường Sai</t>
  </si>
  <si>
    <t>Cầu tràn BTCT tại bản Cang - bản Chạy, xã Nậm Mằn</t>
  </si>
  <si>
    <t>Cầu treo bản Nà Lốc 2, xã Chiềng Sơ</t>
  </si>
  <si>
    <t>Hỗ trợ thu gom, vận chuyển, xử lý, chôn lấp chất thải, vận hành bãi chôn lấp chất thải.</t>
  </si>
  <si>
    <t>Đội quản lý đô thị huyện</t>
  </si>
  <si>
    <t>Hỗ trợ trang thiết bị, phương tiện thu gom rác thải sinh hoạt, vệ sinh môi trường tại các tổ dân phố, các trường học, khu dân cư và bệnh viện đa khoa huyện</t>
  </si>
  <si>
    <t>Hỗ trợ xác nhận kế hoạch bảo vệ môi trường</t>
  </si>
  <si>
    <t>Tuyên truyền bảo vệ môi trường</t>
  </si>
  <si>
    <t>BQLDA huyện</t>
  </si>
  <si>
    <t>Kinh phí ứng phó sự cố môi trường</t>
  </si>
  <si>
    <t>Chế độ, nhiệm vụ khác</t>
  </si>
  <si>
    <t>3=4+5+6+7</t>
  </si>
  <si>
    <t>4=1x2</t>
  </si>
  <si>
    <t xml:space="preserve"> - Kinh phí mua sắm trang thiết bị Hội trường phòng Giáo dục &amp; ĐT</t>
  </si>
  <si>
    <t xml:space="preserve"> - Kinh phí hoạt động hội khuyến học</t>
  </si>
  <si>
    <t xml:space="preserve"> - Kinh phí mua sắm trang thiết bị dạy học</t>
  </si>
  <si>
    <t>KP tiết kiệm 10% chi thường xuyên</t>
  </si>
  <si>
    <t>Kinh phí đào tạo, bồi dưỡng</t>
  </si>
  <si>
    <t>Chi thường xuyên theo định mức</t>
  </si>
  <si>
    <t>Kinh phí thuê lao động làm việc tại các cơ sở điều trị nghiện các chất dạng thuốc phiện bằng Methadone</t>
  </si>
  <si>
    <t xml:space="preserve"> - Kinh phí thực hiện các chế độ, nhiệm vụ khác</t>
  </si>
  <si>
    <t>Ban QLDA huyện</t>
  </si>
  <si>
    <t xml:space="preserve"> - Sửa chữa hệ thống xử lý chất thải lỏng tại Bệnh viện Đa khoa huyện Sông Mã</t>
  </si>
  <si>
    <t>KP hỗ trợ đầu tư XD thiết chế văn hoá</t>
  </si>
  <si>
    <t>Đài Truyền thanh - Truyền hình huyện</t>
  </si>
  <si>
    <t>Xây dựng nhà văn hóa Bản Lọng Lằn, xã Nà Nghịu, huyện Sông Mã, tỉnh Sơn La</t>
  </si>
  <si>
    <t>Xây dựng nhà văn hóa Bản Nà Hò, xã Mường Sai, huyện Sông Mã, tỉnh Sơn La</t>
  </si>
  <si>
    <t xml:space="preserve">KP hỗ trợ đầu tư XD thiết chế văn hoá cơ sở </t>
  </si>
  <si>
    <t>Phòng Văn hóa - TT</t>
  </si>
  <si>
    <t>1.3</t>
  </si>
  <si>
    <t>1.4</t>
  </si>
  <si>
    <t>5.1</t>
  </si>
  <si>
    <t>5.2</t>
  </si>
  <si>
    <t>5.3</t>
  </si>
  <si>
    <t xml:space="preserve"> KP hỗ trợ tiền điện cho hộ nghèo, hộ chính sách xã hội</t>
  </si>
  <si>
    <t>Dự phòng ĐBXH năm 2015</t>
  </si>
  <si>
    <t xml:space="preserve"> - Kinh phí mua sắm tài sản</t>
  </si>
  <si>
    <t xml:space="preserve"> - Chi đặc thù cấp ủy (Bao gồm tiền khen thưởng, chi tiếp khách, các hoạt động của cấp ủy…); KP thực hiện Quyết định số 434-QĐ/TU</t>
  </si>
  <si>
    <t xml:space="preserve"> - Kinh phí mua sắm thiết bị xây dựng cổng thông tin điện tử huyện Sông Mã</t>
  </si>
  <si>
    <t xml:space="preserve"> - Kinh phí tập huấn nghiệp vụ cho các đơn vị dự toán, UBND các xã, thị trấn</t>
  </si>
  <si>
    <t xml:space="preserve"> - KP triển khai phầm mềm, bồi dưỡng tập huấn đăng ký, quản lý hộ tịch</t>
  </si>
  <si>
    <t xml:space="preserve"> - Kinh phí bầu cử HĐND</t>
  </si>
  <si>
    <t xml:space="preserve"> - Kinh phí hoạt động của phòng Lao động - TBXH</t>
  </si>
  <si>
    <t xml:space="preserve"> - Kinh phí hoạt động của Hội BTNTT-TMC</t>
  </si>
  <si>
    <t xml:space="preserve"> - Tăng kinh phí hoạt động (Tổ chức các hội nghị bầu cử Đại biểu quốc hội Hội đồng nhân dân các cấp; Các nhiệm vụ khác …)</t>
  </si>
  <si>
    <t xml:space="preserve"> - Tăng kinh phí hoạt động (Hội nghị Tổng kết 5 năm sản xuất kinh doanh giỏi; Tổ chức Hội thi thể thao Hội Nông dân 2016, hội thi kể chuyện tấm gương đạo đức Hồ Chí Minh; Các hoạt động khác…)</t>
  </si>
  <si>
    <t xml:space="preserve">Chi nhiệm vụ Quốc phòng </t>
  </si>
  <si>
    <t>Kinh phí thực hiện Luật DQTV</t>
  </si>
  <si>
    <t>Chi nhiệm vụ an ninh</t>
  </si>
  <si>
    <t>Chuyển hóa địa bàn trọng điểm, phức tạp về ANTT</t>
  </si>
  <si>
    <t xml:space="preserve">Hỗ trợ kinh phí hoạt động các Ban chỉ đạo của Huyện ủy </t>
  </si>
  <si>
    <t xml:space="preserve">Hỗ trợ kinh phí hoạt động các Ban chỉ đạo của UBND huyện </t>
  </si>
  <si>
    <t>Hỗ trợ đồn biên phòng Mường Cai</t>
  </si>
  <si>
    <t>Hỗ trợ đồn biên phòng Chiềng Khương</t>
  </si>
  <si>
    <t xml:space="preserve">Kinh phí mua sắm tài sản </t>
  </si>
  <si>
    <t>Ban QLDA huyện (Sửa chữa hệ thống xử lý chất thải lỏng tại Bệnh viện Đa khoa huyện Sông Mã)</t>
  </si>
  <si>
    <t xml:space="preserve"> - KP hỗ trợ đầu tư XD thiết chế văn hoá</t>
  </si>
  <si>
    <t>Biểu số 10a</t>
  </si>
  <si>
    <t>Ghi chú:  Mục 8 UBND huyện thực hiện phê duyệt chi tiết nội dung chi khi có nhiệm vụ phát sinh liên quan đến bảo vệ môi trường.</t>
  </si>
  <si>
    <t>Biểu số 04a, 04c</t>
  </si>
  <si>
    <t>Biểu số 03, 03b</t>
  </si>
  <si>
    <t>Biểu số 07, 03a</t>
  </si>
  <si>
    <t>Biểu số 10, 10a</t>
  </si>
  <si>
    <t xml:space="preserve"> - Kinh phí mua sắm tài sản </t>
  </si>
  <si>
    <t>Ủy ban MTTQ huyện</t>
  </si>
  <si>
    <t>Đường Mường Lầm - Chiềng En</t>
  </si>
  <si>
    <t>Km 2</t>
  </si>
  <si>
    <t>Km 7</t>
  </si>
  <si>
    <t>DỰ TOÁN CHI NGÂN SÁCH CẤP HUYỆN NĂM 2016</t>
  </si>
  <si>
    <t>DỰ TOÁN CHI NGÂN SÁCH CẤP HUYỆN NĂM 2016 THEO TỪNG LĨNH VỰC, ĐƠN VỊ DỰ TOÁN</t>
  </si>
  <si>
    <t xml:space="preserve"> DỰ TOÁN CHI NĂM 2016</t>
  </si>
  <si>
    <t>DỰ TOÁN CHI NGÂN SÁCH NĂM 2016 - CÁC ĐƠN VỊ 
THUỘC SỰ NGHIỆP KINH TẾ</t>
  </si>
  <si>
    <t>DỰ TOÁN KINH PHÍ THỰC HIỆN CÁC CÔNG TRÌNH, DỰ ÁN QUY HOẠCH TỪ NGUỒN CHI SỰ NGHIỆP KINH TẾ NĂM 2016</t>
  </si>
  <si>
    <t>DỰ TOÁN KINH PHÍ CẤP BÙ MIỄN THUỶ LỢI PHÍ THEO NGHỊ ĐỊNH 67/NĐ-CP NĂM 2016</t>
  </si>
  <si>
    <t>DỰ TOÁN  KINH PHÍ SỬ DỤNG ĐẤT TRỒNG LÚA THEO NGHỊ ĐỊNH 35/2015/NĐ-CP</t>
  </si>
  <si>
    <t>DỰ TOÁN CHI KINH PHÍ SỰ NGHIỆP GIAO THÔNG NĂM 2016</t>
  </si>
  <si>
    <t>DỰ TOÁN KINH PHÍ CHI PHÁT TRIỂN GIAO THÔNG NÔNG THÔN NĂM 2016</t>
  </si>
  <si>
    <t xml:space="preserve"> DT năm 2016</t>
  </si>
  <si>
    <t>DT năm 2016</t>
  </si>
  <si>
    <t>DỰ TOÁN KINH PHÍ BẢO VỆ MÔI TRƯỜNG NĂM 2016</t>
  </si>
  <si>
    <t xml:space="preserve"> DỰ TOÁN CHI NGÂN SÁCH NĂM 2016 - SỰ NGHIỆP GIÁO DỤC, ĐÀO TẠO</t>
  </si>
  <si>
    <t>DỰ TOÁN CHI NGÂN SÁCH NĂM 2016 - SỰ NGHIỆP Y TẾ</t>
  </si>
  <si>
    <t>DỰ TOÁN CHI NGÂN SÁCH NĂM 2016</t>
  </si>
  <si>
    <t>Phân bổ kinh phí hỗ trợ đầu tư XD thiết chế văn hoá cơ sở</t>
  </si>
  <si>
    <t>DỰ TOÁN CHI NGÂN SÁCH NĂM 2016 - CHI ĐẢM BẢO XÃ HỘI</t>
  </si>
  <si>
    <t>DỰ TOÁN CHI NGÂN SÁCH NĂM 2016  - CHI QUẢN LÝ HÀNH CHÍNH</t>
  </si>
  <si>
    <t>DỰ TOÁN CHI NGÂN SÁCH NĂM 2016 - CHI AN NINH - QUỐC PHÒNG
 VÀ ĐỐI NGOẠI</t>
  </si>
  <si>
    <t>DỰ TOÁN CHI NGÂN SÁCH NĂM 2016 - CHI KHÁC NGÂN SÁCH</t>
  </si>
  <si>
    <t>KP thực hiện các đợt ra quân Tuần lễ Quốc gia nước sạch vệ sinh môi trường, ngày môi trường thế giới và làm vệ sinh đô thị</t>
  </si>
  <si>
    <t>DỰ TOÁN BỔ SUNG TRỢ CẤP CÂN ĐỐI NGÂN SÁCH CHO CÁC XÃ, THỊ TRẤN NĂM 2016</t>
  </si>
  <si>
    <t>Biểu số 15</t>
  </si>
  <si>
    <t>Biểu số 01</t>
  </si>
  <si>
    <t>(Kèm theo Nghị quyết số 86/NĐ-HĐND ngày 18 tháng 12 năm 2015 của HĐND huyện Sông Mã)</t>
  </si>
  <si>
    <t>Dự toán 
năm 2016</t>
  </si>
  <si>
    <t>TỔNG CỘNG</t>
  </si>
  <si>
    <t>CHI ĐẦU TƯ XÂY DỰNG CƠ BẢN</t>
  </si>
  <si>
    <t xml:space="preserve">                 + Đầu tư các dự án</t>
  </si>
  <si>
    <t>CHI THƯỜNG XUYÊN</t>
  </si>
  <si>
    <t xml:space="preserve"> - Chi sự nghiệp nông - lâm nghiệp</t>
  </si>
  <si>
    <t xml:space="preserve"> + Chi sự nghiệp nông nghiệp</t>
  </si>
  <si>
    <t xml:space="preserve"> + Chi sự nghiệp lâm nghiệp</t>
  </si>
  <si>
    <t xml:space="preserve"> Tr.đó: Kinh phí bảo vệ rừng mùa khô hanh</t>
  </si>
  <si>
    <t xml:space="preserve"> - Kinh phí thực hiện Nghị định số 67/NĐ-CP</t>
  </si>
  <si>
    <t xml:space="preserve"> - Kinh phí sử dụng đất trồng lúa theo Nghị định số 35/2015/NĐ-CP</t>
  </si>
  <si>
    <t xml:space="preserve"> - Chi sự nghiệp giao thông, công nghiệp</t>
  </si>
  <si>
    <t xml:space="preserve"> - Nguồn thực hiện cải cách tiền lương Nghị định số 22/NĐ-CP, Nghị định số 31/NĐ-CP, Nghị định số 66/NĐ-CP</t>
  </si>
  <si>
    <t xml:space="preserve"> - Kinh phí thực hiện Quyết định số 85/QĐ-TTg</t>
  </si>
  <si>
    <t xml:space="preserve"> - Kinh phí thực hiện Nghị định số 116/NĐ-CP, Nghị định số 54/NĐ-CP và Nghị định số 19/NĐ-CP</t>
  </si>
  <si>
    <t xml:space="preserve"> -Hỗ trợ học sinh qua sông, hồ theo Nghị quyết số 331/NQ-HĐND</t>
  </si>
  <si>
    <t xml:space="preserve"> - Kinh phí hỗ trợ nấu ăn theo Nghị quyết số 61/NQ-HĐND, Nghị quyết số 81/NQ-HĐND</t>
  </si>
  <si>
    <t xml:space="preserve"> - Kinh phí thực hiện chính sách đối với người khuyết tật theo Nghị định số 28/NĐ-CP</t>
  </si>
  <si>
    <t xml:space="preserve"> - Kinh phí chi thường xuyên y tế xã</t>
  </si>
  <si>
    <t>Chi sự nghiệp văn hoá - thể thao</t>
  </si>
  <si>
    <t xml:space="preserve"> + Dự phòng kinh phí phòng, chống ma túy</t>
  </si>
  <si>
    <t xml:space="preserve"> + Kinh phí thực hiện chính sách phòng chống ma tuý</t>
  </si>
  <si>
    <t xml:space="preserve"> - Kinh phí Methadone theo Kế hoạch số 73/KH-UBND</t>
  </si>
  <si>
    <t xml:space="preserve"> - Kinh phí thực hiện Nghị định số 67/NĐ-CP, Nghị định số 13/NĐ-CP và Nghị định số 136/2013/NĐ-CP</t>
  </si>
  <si>
    <t xml:space="preserve"> - Kinh phí thực hiện Quyết định số 102/QĐ-TTg</t>
  </si>
  <si>
    <t xml:space="preserve"> + Thăm hỏi đối tượng chính sách nhân dịp tết nguyên đán </t>
  </si>
  <si>
    <t xml:space="preserve"> + KP tổ chức thăm hỏi, tặng quà người có uy tín theo Quyết định số 18/QĐ-TTg</t>
  </si>
  <si>
    <t>Kinh phí  hoạt động của Ban Chỉ đạo 2118</t>
  </si>
  <si>
    <t xml:space="preserve"> + KP thăm hỏi đối tượng chính sách nhân ngày 27/7</t>
  </si>
  <si>
    <t xml:space="preserve"> + Chi đảm bảo xã hội khác</t>
  </si>
  <si>
    <t xml:space="preserve"> + Dự phòng đảm bảo xã hội</t>
  </si>
  <si>
    <t xml:space="preserve"> + KP thăm hỏi, tặng quà người cao tuổi theo Thông tư số 21/TT-BTC</t>
  </si>
  <si>
    <t>Chi quản lý Nhà nước</t>
  </si>
  <si>
    <t xml:space="preserve"> - Kinh phí Ban Chỉ đạo 2968</t>
  </si>
  <si>
    <t xml:space="preserve"> - Kinh phí Ban Chỉ đạo di dân tái định cư</t>
  </si>
  <si>
    <t xml:space="preserve"> - Kinh phí Ban Chỉ đạo xây dựng nông thôn mới</t>
  </si>
  <si>
    <t xml:space="preserve">  - Kinh phhí triển khai phầm mềm, bồi dưỡng tập huấn đăng ký, quản lý hộ tịch</t>
  </si>
  <si>
    <t xml:space="preserve"> - KP giám sát cộng đồng theo Quyết định số 80/QĐ-TTg</t>
  </si>
  <si>
    <t xml:space="preserve"> - KP thực hiện Luật DQTV; tập huấn DGQP đối tượng 3,4</t>
  </si>
  <si>
    <t xml:space="preserve"> - KP hoạt động các Ban Chỉ đạo</t>
  </si>
  <si>
    <t xml:space="preserve"> - Hỗ trợ sinh  hoạt phí đối với Ủy viên UBMTTQ theo Quyết định số 33/2014/QĐ-TTg</t>
  </si>
  <si>
    <t>Phụ lục số 02</t>
  </si>
  <si>
    <t>Đơn vị tính: Triệu đồng</t>
  </si>
  <si>
    <t>TỔNG SỐ</t>
  </si>
  <si>
    <t>CHI ĐẦU TƯ XDCB</t>
  </si>
  <si>
    <t>CHI THƯỜNG XUYÊN THEO ĐƠN VỊ</t>
  </si>
  <si>
    <t xml:space="preserve"> - Chi sự nghiệp nông- lâm nghiệp</t>
  </si>
  <si>
    <t>Phòng giáo dục (QLNN)</t>
  </si>
  <si>
    <t>Bậc mầm non</t>
  </si>
  <si>
    <t>Bậc tiểu học</t>
  </si>
  <si>
    <t>Các chế độ, chính sách tăng thêm sự nghiệp giáo dục - đào tạo</t>
  </si>
  <si>
    <t>Sự nghiệp y tế</t>
  </si>
  <si>
    <t>Văn phòng Huyện uỷ (Ban CSSK)</t>
  </si>
  <si>
    <t>Sự nghiệp văn hoá - thể thao</t>
  </si>
  <si>
    <t>Chi sự nghiệp TT - TH</t>
  </si>
  <si>
    <t>Phòng lao động - TBXH</t>
  </si>
  <si>
    <t>KP tổ chức thăm hỏi, tặng quà người có uy tín theo Quyết định số 18/QĐ-TTg</t>
  </si>
  <si>
    <t>Kinh phí Methadone theo Kế hoạch số 73/KH-UBND</t>
  </si>
  <si>
    <t>KP thăm hỏi, tặng quà NCT theo Thông tư số 21/TT-BTC</t>
  </si>
  <si>
    <t>Quản lý Nhà nước</t>
  </si>
  <si>
    <t>Hội Cựu thanh niên xung phong</t>
  </si>
  <si>
    <t>Văn phòng HĐND - UBND huyện</t>
  </si>
  <si>
    <t xml:space="preserve">VHTT, TT - TH </t>
  </si>
  <si>
    <t>AN - QP</t>
  </si>
  <si>
    <t>Biểu số 03</t>
  </si>
  <si>
    <t>SỰ NGHIỆP NÔNG NGHIỆP</t>
  </si>
  <si>
    <t>Tổng kết năm nông nghiệp; hội nghị cam kết không tái trồng cây thuốc phiện; hỗ trợ phát triển HTX (tổ chức hội nghị tuyên truyền, thành lập mới HTX)</t>
  </si>
  <si>
    <t>Mua giống cây trồng để tổ chức trồng cây kỷ niệm ngày sinh của Bác; tham gia gian hàng giới thiệu sản phẩm nông nghiệp tại Hội chợ tỉnh, huyện</t>
  </si>
  <si>
    <t xml:space="preserve">Diễn tập phòng chống thiên tai &amp; TKCN (1 xã); trực ban phòng chống lũ bão </t>
  </si>
  <si>
    <t>Hỗ trợ mô hình và tập huấn sản xuất nhãn theo hướng VietGAP; hỗ trợ xây dựng "Nhãn hiệu chứng nhận" nhãn</t>
  </si>
  <si>
    <t>Xây dựng các mô hình phát triển kinh tế năm thứ 2 (Theo Quyết định số 1086/QĐ-UBND ban hành Đề án xây dựng và phát triển các mô hình kinh tế giai đoạn 2015 - 2016); hỗ trợ mô hình khoanh nuôi bảo vệ và phát triển cây chít năm thứ 3</t>
  </si>
  <si>
    <t>Hỗ trợ vacxin dịch bệnh truyền nhiễm nguy hiểm tại các xã khu vực I, II; tập huấn sử dụng thuốc BVTV + pháp lệnh giống cây trồng + phân bón + thức ăn chăn nuôi</t>
  </si>
  <si>
    <t>SỰ NGHIỆP LÂM NGHIỆP</t>
  </si>
  <si>
    <t>Tuyên truyền Luật Bảo vệ và Phát triển rừng</t>
  </si>
  <si>
    <t>CHI SỰ NGHIỆP KIẾN THIẾT THỊ CHÍNH</t>
  </si>
  <si>
    <t>SỰ NGHIỆP KINH TẾ KHÁC</t>
  </si>
  <si>
    <t>Chi tiết tại Biểu số 03b</t>
  </si>
  <si>
    <t>Chi tiết tại Biểu số 03a</t>
  </si>
  <si>
    <t>Biểu số 03a</t>
  </si>
  <si>
    <t>Số 
biên chế</t>
  </si>
  <si>
    <t>Theo 
định mức</t>
  </si>
  <si>
    <t>Hội ngành nghề</t>
  </si>
  <si>
    <t>Biểu số 03b</t>
  </si>
</sst>
</file>

<file path=xl/styles.xml><?xml version="1.0" encoding="utf-8"?>
<styleSheet xmlns="http://schemas.openxmlformats.org/spreadsheetml/2006/main">
  <numFmts count="8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_(* \(#,##0\);_(* &quot;-&quot;??_);_(@_)"/>
    <numFmt numFmtId="167" formatCode="_(* #,##0.0_);_(* \(#,##0.0\);_(* &quot;-&quot;??_);_(@_)"/>
    <numFmt numFmtId="168" formatCode="#,##0.0"/>
    <numFmt numFmtId="169" formatCode="_(* #,##0.000_);_(* \(#,##0.000\);_(* &quot;-&quot;??_);_(@_)"/>
    <numFmt numFmtId="170" formatCode="0.000"/>
    <numFmt numFmtId="171" formatCode="_(* #,##0.0000_);_(* \(#,##0.0000\);_(* &quot;-&quot;??_);_(@_)"/>
    <numFmt numFmtId="172" formatCode="#,##0.0000"/>
    <numFmt numFmtId="173" formatCode="#,##0.00000"/>
    <numFmt numFmtId="174" formatCode="_-&quot;$&quot;* #,##0_-;\-&quot;$&quot;* #,##0_-;_-&quot;$&quot;* &quot;-&quot;_-;_-@_-"/>
    <numFmt numFmtId="175" formatCode="&quot;\&quot;#,##0.00;[Red]&quot;\&quot;&quot;\&quot;&quot;\&quot;&quot;\&quot;&quot;\&quot;&quot;\&quot;\-#,##0.00"/>
    <numFmt numFmtId="176" formatCode="&quot;\&quot;#,##0;[Red]&quot;\&quot;&quot;\&quot;\-#,##0"/>
    <numFmt numFmtId="177" formatCode="_ * #,##0.00_ ;_ * \-#,##0.00_ ;_ * &quot;-&quot;??_ ;_ @_ "/>
    <numFmt numFmtId="178" formatCode="_ * #,##0_ ;_ * \-#,##0_ ;_ * &quot;-&quot;_ ;_ @_ "/>
    <numFmt numFmtId="179" formatCode="_-* #,##0_-;\-* #,##0_-;_-* &quot;-&quot;_-;_-@_-"/>
    <numFmt numFmtId="180" formatCode="_-* ###,0&quot;.&quot;00_-;\-* ###,0&quot;.&quot;00_-;_-* &quot;-&quot;??_-;_-@_-"/>
    <numFmt numFmtId="181" formatCode="_-* #,##0\ _F_-;\-* #,##0\ _F_-;_-* &quot;-&quot;\ _F_-;_-@_-"/>
    <numFmt numFmtId="182" formatCode="_-* #,##0.00_-;\-* #,##0.00_-;_-* &quot;-&quot;??_-;_-@_-"/>
    <numFmt numFmtId="183" formatCode="_-* #,##0.00\ _V_N_D_-;\-* #,##0.00\ _V_N_D_-;_-* &quot;-&quot;??\ _V_N_D_-;_-@_-"/>
    <numFmt numFmtId="184" formatCode="_-* #,##0\ _V_N_D_-;\-* #,##0\ _V_N_D_-;_-* &quot;-&quot;\ _V_N_D_-;_-@_-"/>
    <numFmt numFmtId="185" formatCode="_ &quot;\&quot;* #,##0_ ;_ &quot;\&quot;* \-#,##0_ ;_ &quot;\&quot;* &quot;-&quot;_ ;_ @_ "/>
    <numFmt numFmtId="186" formatCode="###0"/>
    <numFmt numFmtId="187" formatCode="_-&quot;$&quot;* #,##0.00_-;\-&quot;$&quot;* #,##0.00_-;_-&quot;$&quot;* &quot;-&quot;??_-;_-@_-"/>
    <numFmt numFmtId="188" formatCode="&quot;$&quot;#&quot;$&quot;##0_);\(&quot;$&quot;#&quot;$&quot;##0\)"/>
    <numFmt numFmtId="189" formatCode="&quot;\&quot;#,##0;[Red]&quot;\&quot;\-#,##0"/>
    <numFmt numFmtId="190" formatCode="&quot;SFr.&quot;\ #,##0.00;[Red]&quot;SFr.&quot;\ \-#,##0.00"/>
    <numFmt numFmtId="191" formatCode="_ &quot;SFr.&quot;\ * #,##0_ ;_ &quot;SFr.&quot;\ * \-#,##0_ ;_ &quot;SFr.&quot;\ * &quot;-&quot;_ ;_ @_ "/>
    <numFmt numFmtId="192" formatCode=";;"/>
    <numFmt numFmtId="193" formatCode="#,##0.0_);\(#,##0.0\)"/>
    <numFmt numFmtId="194" formatCode="###\ ###\ ###\ ###\ .00"/>
    <numFmt numFmtId="195" formatCode="###\ ###\ ###.000"/>
    <numFmt numFmtId="196" formatCode="_-* #,##0.000\ _F_-;\-* #,##0.000\ _F_-;_-* &quot;-&quot;???\ _F_-;_-@_-"/>
    <numFmt numFmtId="197" formatCode="dd\-mm\-yy"/>
    <numFmt numFmtId="198" formatCode="_-* #,##0.00\ &quot;F&quot;_-;\-* #,##0.00\ &quot;F&quot;_-;_-* &quot;-&quot;??\ &quot;F&quot;_-;_-@_-"/>
    <numFmt numFmtId="199" formatCode="0.000_)"/>
    <numFmt numFmtId="200" formatCode="#,##0;\(#,##0\)"/>
    <numFmt numFmtId="201" formatCode="_ &quot;R&quot;\ * #,##0_ ;_ &quot;R&quot;\ * \-#,##0_ ;_ &quot;R&quot;\ * &quot;-&quot;_ ;_ @_ "/>
    <numFmt numFmtId="202" formatCode="&quot;$&quot;#,##0.000_);[Red]\(&quot;$&quot;#,##0.00\)"/>
    <numFmt numFmtId="203" formatCode="\$#,##0\ ;\(\$#,##0\)"/>
    <numFmt numFmtId="204" formatCode="\t0.00%"/>
    <numFmt numFmtId="205" formatCode="_-* #,##0\ _€_-;\-* #,##0\ _€_-;_-* &quot;-&quot;\ _€_-;_-@_-"/>
    <numFmt numFmtId="206" formatCode="_-&quot;F&quot;\ * #,##0.0_-;_-&quot;F&quot;\ * #,##0.0\-;_-&quot;F&quot;\ * &quot;-&quot;??_-;_-@_-"/>
    <numFmt numFmtId="207" formatCode="\t#\ ??/??"/>
    <numFmt numFmtId="208" formatCode="_([$€-2]* #,##0.00_);_([$€-2]* \(#,##0.00\);_([$€-2]* &quot;-&quot;??_)"/>
    <numFmt numFmtId="209" formatCode="&quot;$&quot;#,##0;\-&quot;$&quot;#,##0"/>
    <numFmt numFmtId="210" formatCode="#,###"/>
    <numFmt numFmtId="211" formatCode="#,##0\ &quot;€&quot;_);[Red]\(#,##0\ &quot;€&quot;\)"/>
    <numFmt numFmtId="212" formatCode="&quot;€&quot;###,0&quot;.&quot;00_);[Red]\(&quot;€&quot;###,0&quot;.&quot;00\)"/>
    <numFmt numFmtId="213" formatCode="&quot;\&quot;#,##0;[Red]\-&quot;\&quot;#,##0"/>
    <numFmt numFmtId="214" formatCode="&quot;\&quot;#,##0.00;\-&quot;\&quot;#,##0.00"/>
    <numFmt numFmtId="215" formatCode="0.00_)"/>
    <numFmt numFmtId="216" formatCode="#,##0.000_);\(#,##0.000\)"/>
    <numFmt numFmtId="217" formatCode="#"/>
    <numFmt numFmtId="218" formatCode="&quot;¡Ì&quot;#,##0;[Red]\-&quot;¡Ì&quot;#,##0"/>
    <numFmt numFmtId="219" formatCode="_(&quot;.&quot;* #&quot;$&quot;##0_);_(&quot;.&quot;* \(#&quot;$&quot;##0\);_(&quot;.&quot;* &quot;-&quot;_);_(@_)"/>
    <numFmt numFmtId="220" formatCode="&quot;$&quot;#&quot;$&quot;##0_);[Red]\(&quot;$&quot;#&quot;$&quot;##0\)"/>
    <numFmt numFmtId="221" formatCode="#,##0.00\ &quot;F&quot;;[Red]\-#,##0.00\ &quot;F&quot;"/>
    <numFmt numFmtId="222" formatCode="&quot;£&quot;#,##0;[Red]\-&quot;£&quot;#,##0"/>
    <numFmt numFmtId="223" formatCode="_-* #,##0.0\ _F_-;\-* #,##0.0\ _F_-;_-* &quot;-&quot;??\ _F_-;_-@_-"/>
    <numFmt numFmtId="224" formatCode="0.00000000000E+00;\?"/>
    <numFmt numFmtId="225" formatCode="#,##0.00\ \ "/>
    <numFmt numFmtId="226" formatCode="_-* ###,0&quot;.&quot;00\ _F_B_-;\-* ###,0&quot;.&quot;00\ _F_B_-;_-* &quot;-&quot;??\ _F_B_-;_-@_-"/>
    <numFmt numFmtId="227" formatCode="#,##0\ &quot;F&quot;;\-#,##0\ &quot;F&quot;"/>
    <numFmt numFmtId="228" formatCode="#,##0\ &quot;F&quot;;[Red]\-#,##0\ &quot;F&quot;"/>
    <numFmt numFmtId="229" formatCode="_-* #,##0\ &quot;F&quot;_-;\-* #,##0\ &quot;F&quot;_-;_-* &quot;-&quot;\ &quot;F&quot;_-;_-@_-"/>
    <numFmt numFmtId="230" formatCode="#,##0.00\ &quot;F&quot;;\-#,##0.00\ &quot;F&quot;"/>
    <numFmt numFmtId="231" formatCode="#,##0\ &quot;€&quot;;\-#,##0\ &quot;€&quot;"/>
    <numFmt numFmtId="232" formatCode="_ &quot;$&quot;\ * #,##0_ ;_ &quot;$&quot;\ * \-#,##0_ ;_ &quot;$&quot;\ * &quot;-&quot;_ ;_ @_ "/>
    <numFmt numFmtId="233" formatCode="#,##0.00\ &quot;DM&quot;;[Red]\-#,##0.00\ &quot;DM&quot;"/>
    <numFmt numFmtId="234" formatCode="&quot;\&quot;#,##0.00;[Red]&quot;\&quot;\-#,##0.00"/>
    <numFmt numFmtId="235" formatCode="_(* #,##0.0_);_(* \(#,##0.0\);_(* &quot;-&quot;?_);_(@_)"/>
    <numFmt numFmtId="236" formatCode="0.0"/>
  </numFmts>
  <fonts count="163">
    <font>
      <sz val="13"/>
      <name val="Times New Roman"/>
      <family val="0"/>
    </font>
    <font>
      <i/>
      <sz val="12"/>
      <name val="Times New Roman"/>
      <family val="1"/>
    </font>
    <font>
      <sz val="12"/>
      <name val="Times New Roman"/>
      <family val="1"/>
    </font>
    <font>
      <b/>
      <sz val="11"/>
      <name val="Times New Roman"/>
      <family val="1"/>
    </font>
    <font>
      <b/>
      <sz val="12"/>
      <name val="Times New Roman"/>
      <family val="1"/>
    </font>
    <font>
      <sz val="11"/>
      <name val="Times New Roman"/>
      <family val="1"/>
    </font>
    <font>
      <b/>
      <sz val="14"/>
      <name val="Times New Roman"/>
      <family val="1"/>
    </font>
    <font>
      <i/>
      <sz val="13"/>
      <name val="Times New Roman"/>
      <family val="1"/>
    </font>
    <font>
      <b/>
      <sz val="13"/>
      <name val="Times New Roman"/>
      <family val="1"/>
    </font>
    <font>
      <sz val="10"/>
      <name val="Times New Roman"/>
      <family val="1"/>
    </font>
    <font>
      <b/>
      <sz val="11"/>
      <color indexed="12"/>
      <name val="Times New Roman"/>
      <family val="1"/>
    </font>
    <font>
      <u val="single"/>
      <sz val="13"/>
      <color indexed="12"/>
      <name val="Times New Roman"/>
      <family val="1"/>
    </font>
    <font>
      <u val="single"/>
      <sz val="13"/>
      <color indexed="36"/>
      <name val="Times New Roman"/>
      <family val="1"/>
    </font>
    <font>
      <sz val="12"/>
      <name val=".VnTime"/>
      <family val="2"/>
    </font>
    <font>
      <b/>
      <sz val="12"/>
      <name val=".VnTime"/>
      <family val="2"/>
    </font>
    <font>
      <sz val="11"/>
      <color indexed="12"/>
      <name val="Times New Roman"/>
      <family val="1"/>
    </font>
    <font>
      <b/>
      <sz val="10"/>
      <name val="Arial"/>
      <family val="2"/>
    </font>
    <font>
      <i/>
      <sz val="13"/>
      <name val="3C_Times_T"/>
      <family val="0"/>
    </font>
    <font>
      <sz val="10"/>
      <name val="Arial"/>
      <family val="2"/>
    </font>
    <font>
      <i/>
      <sz val="10"/>
      <name val="MS Sans Serif"/>
      <family val="2"/>
    </font>
    <font>
      <sz val="12"/>
      <name val="Vni-times"/>
      <family val="0"/>
    </font>
    <font>
      <sz val="12"/>
      <name val="돋움체"/>
      <family val="3"/>
    </font>
    <font>
      <sz val="10"/>
      <name val="AngsanaUPC"/>
      <family val="1"/>
    </font>
    <font>
      <sz val="12"/>
      <name val="????"/>
      <family val="1"/>
    </font>
    <font>
      <sz val="12"/>
      <name val="Courier"/>
      <family val="3"/>
    </font>
    <font>
      <sz val="12"/>
      <name val="|??¢¥¢¬¨Ï"/>
      <family val="1"/>
    </font>
    <font>
      <sz val="14"/>
      <name val="뼻뮝"/>
      <family val="3"/>
    </font>
    <font>
      <sz val="10"/>
      <name val=".VnTime"/>
      <family val="2"/>
    </font>
    <font>
      <sz val="10"/>
      <name val="VNI-Times"/>
      <family val="0"/>
    </font>
    <font>
      <sz val="10"/>
      <name val="MS Sans Serif"/>
      <family val="2"/>
    </font>
    <font>
      <sz val="12"/>
      <name val="???"/>
      <family val="0"/>
    </font>
    <font>
      <sz val="12"/>
      <name val=".VnArial"/>
      <family val="2"/>
    </font>
    <font>
      <sz val="9"/>
      <name val="Arial"/>
      <family val="2"/>
    </font>
    <font>
      <sz val="11"/>
      <name val="3C_Times_T"/>
      <family val="0"/>
    </font>
    <font>
      <sz val="12"/>
      <name val="바탕체"/>
      <family val="1"/>
    </font>
    <font>
      <sz val="14"/>
      <name val="Terminal"/>
      <family val="3"/>
    </font>
    <font>
      <sz val="11"/>
      <name val="–¾’©"/>
      <family val="1"/>
    </font>
    <font>
      <sz val="14"/>
      <name val="VnTime"/>
      <family val="0"/>
    </font>
    <font>
      <b/>
      <u val="single"/>
      <sz val="14"/>
      <color indexed="8"/>
      <name val=".VnBook-AntiquaH"/>
      <family val="2"/>
    </font>
    <font>
      <sz val="11"/>
      <name val=".VnTime"/>
      <family val="2"/>
    </font>
    <font>
      <b/>
      <sz val="10"/>
      <name val=".VnArial"/>
      <family val="2"/>
    </font>
    <font>
      <sz val="12"/>
      <color indexed="8"/>
      <name val="¹ÙÅÁÃ¼"/>
      <family val="1"/>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¹UAAA¼"/>
      <family val="3"/>
    </font>
    <font>
      <sz val="11"/>
      <name val="±¼¸²Ã¼"/>
      <family val="3"/>
    </font>
    <font>
      <sz val="8"/>
      <name val="Times New Roman"/>
      <family val="1"/>
    </font>
    <font>
      <sz val="12"/>
      <name val="¹ÙÅÁÃ¼"/>
      <family val="0"/>
    </font>
    <font>
      <sz val="11"/>
      <color indexed="20"/>
      <name val="Calibri"/>
      <family val="2"/>
    </font>
    <font>
      <b/>
      <i/>
      <sz val="14"/>
      <name val="VNTime"/>
      <family val="2"/>
    </font>
    <font>
      <sz val="12"/>
      <name val="Tms Rmn"/>
      <family val="0"/>
    </font>
    <font>
      <sz val="12"/>
      <name val="µ¸¿òÃ¼"/>
      <family val="3"/>
    </font>
    <font>
      <sz val="12"/>
      <name val="System"/>
      <family val="1"/>
    </font>
    <font>
      <sz val="11"/>
      <name val="µ¸¿ò"/>
      <family val="1"/>
    </font>
    <font>
      <sz val="10"/>
      <name val="Helv"/>
      <family val="0"/>
    </font>
    <font>
      <sz val="12"/>
      <name val="Arial"/>
      <family val="2"/>
    </font>
    <font>
      <b/>
      <sz val="11"/>
      <color indexed="52"/>
      <name val="Calibri"/>
      <family val="2"/>
    </font>
    <font>
      <b/>
      <sz val="10"/>
      <name val="Helv"/>
      <family val="0"/>
    </font>
    <font>
      <b/>
      <sz val="11"/>
      <color indexed="9"/>
      <name val="Calibri"/>
      <family val="2"/>
    </font>
    <font>
      <sz val="10"/>
      <name val=".VnArial"/>
      <family val="2"/>
    </font>
    <font>
      <sz val="11"/>
      <name val="Tms Rmn"/>
      <family val="0"/>
    </font>
    <font>
      <sz val="13"/>
      <name val=".VnTime"/>
      <family val="2"/>
    </font>
    <font>
      <sz val="10"/>
      <name val="MS Serif"/>
      <family val="1"/>
    </font>
    <font>
      <sz val="10"/>
      <color indexed="8"/>
      <name val="Arial"/>
      <family val="2"/>
    </font>
    <font>
      <b/>
      <sz val="11"/>
      <name val="VNTimeH"/>
      <family val="2"/>
    </font>
    <font>
      <sz val="10"/>
      <color indexed="8"/>
      <name val="MS Sans Serif"/>
      <family val="2"/>
    </font>
    <font>
      <b/>
      <sz val="13"/>
      <color indexed="16"/>
      <name val=".VnTime"/>
      <family val="2"/>
    </font>
    <font>
      <sz val="11"/>
      <name val="VNtimes new roman"/>
      <family val="0"/>
    </font>
    <font>
      <sz val="10"/>
      <name val="Arial CE"/>
      <family val="0"/>
    </font>
    <font>
      <sz val="10"/>
      <color indexed="16"/>
      <name val="MS Serif"/>
      <family val="1"/>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11"/>
      <color indexed="17"/>
      <name val="Calibri"/>
      <family val="2"/>
    </font>
    <font>
      <sz val="8"/>
      <name val="Arial"/>
      <family val="2"/>
    </font>
    <font>
      <sz val="10"/>
      <name val=".VnArialH"/>
      <family val="2"/>
    </font>
    <font>
      <b/>
      <sz val="12"/>
      <name val=".VnBook-AntiquaH"/>
      <family val="2"/>
    </font>
    <font>
      <b/>
      <sz val="12"/>
      <color indexed="9"/>
      <name val="Tms Rmn"/>
      <family val="0"/>
    </font>
    <font>
      <b/>
      <sz val="12"/>
      <name val="Helv"/>
      <family val="0"/>
    </font>
    <font>
      <b/>
      <sz val="12"/>
      <name val="Arial"/>
      <family val="2"/>
    </font>
    <font>
      <b/>
      <sz val="15"/>
      <color indexed="56"/>
      <name val="Calibri"/>
      <family val="2"/>
    </font>
    <font>
      <b/>
      <sz val="13"/>
      <color indexed="56"/>
      <name val="Calibri"/>
      <family val="2"/>
    </font>
    <font>
      <b/>
      <sz val="11"/>
      <color indexed="56"/>
      <name val="Calibri"/>
      <family val="2"/>
    </font>
    <font>
      <b/>
      <sz val="18"/>
      <name val="Arial"/>
      <family val="2"/>
    </font>
    <font>
      <b/>
      <sz val="8"/>
      <name val="MS Sans Serif"/>
      <family val="2"/>
    </font>
    <font>
      <b/>
      <sz val="10"/>
      <name val=".VnTime"/>
      <family val="2"/>
    </font>
    <font>
      <b/>
      <sz val="14"/>
      <name val=".VnTimeH"/>
      <family val="2"/>
    </font>
    <font>
      <sz val="12"/>
      <name val="??"/>
      <family val="1"/>
    </font>
    <font>
      <sz val="10"/>
      <name val=" "/>
      <family val="1"/>
    </font>
    <font>
      <sz val="11"/>
      <color indexed="62"/>
      <name val="Calibri"/>
      <family val="2"/>
    </font>
    <font>
      <sz val="10"/>
      <name val="VNI-Helve"/>
      <family val="0"/>
    </font>
    <font>
      <sz val="11"/>
      <color indexed="52"/>
      <name val="Calibri"/>
      <family val="2"/>
    </font>
    <font>
      <sz val="8"/>
      <name val="VNarial"/>
      <family val="2"/>
    </font>
    <font>
      <b/>
      <sz val="11"/>
      <name val="Helv"/>
      <family val="0"/>
    </font>
    <font>
      <sz val="10"/>
      <name val=".VnAvant"/>
      <family val="2"/>
    </font>
    <font>
      <sz val="11"/>
      <color indexed="60"/>
      <name val="Calibri"/>
      <family val="2"/>
    </font>
    <font>
      <sz val="7"/>
      <name val="Small Fonts"/>
      <family val="2"/>
    </font>
    <font>
      <b/>
      <i/>
      <sz val="16"/>
      <name val="Helv"/>
      <family val="0"/>
    </font>
    <font>
      <b/>
      <sz val="11"/>
      <name val="Arial"/>
      <family val="2"/>
    </font>
    <font>
      <b/>
      <sz val="11"/>
      <color indexed="63"/>
      <name val="Calibri"/>
      <family val="2"/>
    </font>
    <font>
      <sz val="12"/>
      <name val="Helv"/>
      <family val="2"/>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3C_Times_T"/>
      <family val="0"/>
    </font>
    <font>
      <sz val="11"/>
      <color indexed="32"/>
      <name val="VNI-Times"/>
      <family val="0"/>
    </font>
    <font>
      <b/>
      <sz val="8"/>
      <color indexed="8"/>
      <name val="Helv"/>
      <family val="0"/>
    </font>
    <font>
      <sz val="14"/>
      <name val=".VnTime"/>
      <family val="2"/>
    </font>
    <font>
      <sz val="11"/>
      <name val=".VnAvant"/>
      <family val="2"/>
    </font>
    <font>
      <b/>
      <sz val="13"/>
      <color indexed="8"/>
      <name val=".VnTimeH"/>
      <family val="2"/>
    </font>
    <font>
      <sz val="9.5"/>
      <name val=".VnBlackH"/>
      <family val="2"/>
    </font>
    <font>
      <b/>
      <sz val="10"/>
      <name val=".VnBahamasBH"/>
      <family val="2"/>
    </font>
    <font>
      <b/>
      <sz val="11"/>
      <name val=".VnArialH"/>
      <family val="2"/>
    </font>
    <font>
      <b/>
      <sz val="18"/>
      <color indexed="56"/>
      <name val="Cambria"/>
      <family val="2"/>
    </font>
    <font>
      <b/>
      <sz val="20"/>
      <name val=".VnTimeH"/>
      <family val="2"/>
    </font>
    <font>
      <i/>
      <sz val="12"/>
      <name val=".VnTime"/>
      <family val="2"/>
    </font>
    <font>
      <b/>
      <sz val="10"/>
      <name val=".VnArialH"/>
      <family val="2"/>
    </font>
    <font>
      <b/>
      <sz val="11"/>
      <color indexed="8"/>
      <name val="Calibri"/>
      <family val="2"/>
    </font>
    <font>
      <sz val="8"/>
      <name val=".VnTime"/>
      <family val="2"/>
    </font>
    <font>
      <b/>
      <sz val="8"/>
      <name val="VN Helvetica"/>
      <family val="0"/>
    </font>
    <font>
      <b/>
      <sz val="10"/>
      <name val="VN AvantGBook"/>
      <family val="0"/>
    </font>
    <font>
      <b/>
      <sz val="10"/>
      <name val="VN Helvetica"/>
      <family val="0"/>
    </font>
    <font>
      <b/>
      <sz val="16"/>
      <name val=".VnTime"/>
      <family val="2"/>
    </font>
    <font>
      <sz val="9"/>
      <name val=".VnTime"/>
      <family val="2"/>
    </font>
    <font>
      <sz val="11"/>
      <color indexed="10"/>
      <name val="Calibri"/>
      <family val="2"/>
    </font>
    <font>
      <b/>
      <i/>
      <sz val="12"/>
      <name val=".VnTime"/>
      <family val="2"/>
    </font>
    <font>
      <sz val="14"/>
      <name val=".VnArial"/>
      <family val="2"/>
    </font>
    <font>
      <sz val="12"/>
      <name val="뼻뮝"/>
      <family val="1"/>
    </font>
    <font>
      <sz val="10"/>
      <name val="명조"/>
      <family val="3"/>
    </font>
    <font>
      <sz val="10"/>
      <name val="굴림체"/>
      <family val="3"/>
    </font>
    <font>
      <sz val="11"/>
      <name val="ＭＳ 明朝"/>
      <family val="1"/>
    </font>
    <font>
      <b/>
      <sz val="10.5"/>
      <name val="Times New Roman"/>
      <family val="1"/>
    </font>
    <font>
      <b/>
      <sz val="8"/>
      <name val="Times New Roman"/>
      <family val="1"/>
    </font>
    <font>
      <sz val="10.5"/>
      <name val="Times New Roman"/>
      <family val="1"/>
    </font>
    <font>
      <i/>
      <sz val="11"/>
      <name val="Times New Roman"/>
      <family val="1"/>
    </font>
    <font>
      <sz val="13"/>
      <color indexed="12"/>
      <name val="Times New Roman"/>
      <family val="1"/>
    </font>
    <font>
      <b/>
      <sz val="13"/>
      <color indexed="12"/>
      <name val="Times New Roman"/>
      <family val="1"/>
    </font>
    <font>
      <i/>
      <sz val="10"/>
      <name val="Times New Roman"/>
      <family val="1"/>
    </font>
    <font>
      <sz val="11"/>
      <color indexed="8"/>
      <name val="Times New Roman"/>
      <family val="1"/>
    </font>
    <font>
      <b/>
      <sz val="14"/>
      <color indexed="12"/>
      <name val="Times New Roman"/>
      <family val="1"/>
    </font>
    <font>
      <sz val="13"/>
      <color indexed="10"/>
      <name val="Times New Roman"/>
      <family val="1"/>
    </font>
    <font>
      <b/>
      <sz val="12"/>
      <color indexed="12"/>
      <name val=".VnTime"/>
      <family val="2"/>
    </font>
    <font>
      <sz val="12"/>
      <color indexed="12"/>
      <name val=".VnTime"/>
      <family val="2"/>
    </font>
    <font>
      <sz val="14"/>
      <name val="Times New Roman"/>
      <family val="1"/>
    </font>
    <font>
      <sz val="12"/>
      <color indexed="8"/>
      <name val="Times New Roman"/>
      <family val="1"/>
    </font>
    <font>
      <b/>
      <i/>
      <sz val="13"/>
      <name val="Times New Roman"/>
      <family val="1"/>
    </font>
    <font>
      <i/>
      <sz val="14"/>
      <name val="Times New Roman"/>
      <family val="1"/>
    </font>
  </fonts>
  <fills count="39">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3"/>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bgColor indexed="64"/>
      </patternFill>
    </fill>
    <fill>
      <patternFill patternType="solid">
        <fgColor indexed="43"/>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43">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style="double"/>
      <top>
        <color indexed="63"/>
      </top>
      <bottom>
        <color indexed="63"/>
      </bottom>
    </border>
    <border>
      <left style="thin"/>
      <right style="thin"/>
      <top style="hair"/>
      <bottom style="hair"/>
    </border>
    <border>
      <left style="thick"/>
      <right>
        <color indexed="63"/>
      </right>
      <top style="thick"/>
      <bottom>
        <color indexed="63"/>
      </bottom>
    </border>
    <border>
      <left>
        <color indexed="63"/>
      </left>
      <right style="thin"/>
      <top style="hair"/>
      <bottom style="hair"/>
    </border>
    <border>
      <left style="thin"/>
      <right style="thin"/>
      <top>
        <color indexed="63"/>
      </top>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medium"/>
    </border>
    <border>
      <left style="thin"/>
      <right>
        <color indexed="63"/>
      </right>
      <top style="thin"/>
      <bottom style="thin"/>
    </border>
    <border>
      <left>
        <color indexed="63"/>
      </left>
      <right>
        <color indexed="63"/>
      </right>
      <top>
        <color indexed="63"/>
      </top>
      <bottom style="double">
        <color indexed="52"/>
      </bottom>
    </border>
    <border>
      <left style="thin"/>
      <right style="thin"/>
      <top style="thin"/>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color indexed="63"/>
      </left>
      <right>
        <color indexed="63"/>
      </right>
      <top style="double"/>
      <bottom>
        <color indexed="63"/>
      </bottom>
    </border>
    <border>
      <left>
        <color indexed="63"/>
      </left>
      <right style="medium">
        <color indexed="63"/>
      </right>
      <top>
        <color indexed="63"/>
      </top>
      <bottom>
        <color indexed="63"/>
      </bottom>
    </border>
    <border>
      <left style="thin"/>
      <right style="thin"/>
      <top style="thin"/>
      <bottom>
        <color indexed="63"/>
      </bottom>
    </border>
    <border>
      <left style="double"/>
      <right style="thin"/>
      <top style="double"/>
      <bottom>
        <color indexed="63"/>
      </bottom>
    </border>
    <border>
      <left style="double"/>
      <right style="thin"/>
      <top style="hair"/>
      <bottom style="double"/>
    </border>
    <border>
      <left>
        <color indexed="63"/>
      </left>
      <right>
        <color indexed="63"/>
      </right>
      <top style="thin">
        <color indexed="62"/>
      </top>
      <bottom style="double">
        <color indexed="62"/>
      </bottom>
    </border>
    <border>
      <left style="medium">
        <color indexed="9"/>
      </left>
      <right style="medium">
        <color indexed="9"/>
      </right>
      <top style="medium">
        <color indexed="9"/>
      </top>
      <bottom style="medium">
        <color indexed="9"/>
      </bottom>
    </border>
    <border>
      <left style="medium"/>
      <right style="thin"/>
      <top>
        <color indexed="63"/>
      </top>
      <bottom>
        <color indexed="63"/>
      </bottom>
    </border>
    <border>
      <left style="thin"/>
      <right style="thin"/>
      <top>
        <color indexed="63"/>
      </top>
      <bottom>
        <color indexed="63"/>
      </bottom>
    </border>
    <border>
      <left style="hair">
        <color indexed="13"/>
      </left>
      <right style="hair">
        <color indexed="13"/>
      </right>
      <top style="hair">
        <color indexed="13"/>
      </top>
      <bottom style="hair">
        <color indexed="13"/>
      </bottom>
    </border>
    <border>
      <left>
        <color indexed="63"/>
      </left>
      <right>
        <color indexed="63"/>
      </right>
      <top>
        <color indexed="63"/>
      </top>
      <bottom style="hair"/>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948">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4" fontId="20" fillId="0" borderId="0" applyFont="0" applyFill="0" applyBorder="0" applyAlignment="0" applyProtection="0"/>
    <xf numFmtId="0" fontId="13" fillId="0" borderId="0" applyNumberFormat="0" applyFill="0" applyBorder="0" applyAlignment="0" applyProtection="0"/>
    <xf numFmtId="3" fontId="21" fillId="0" borderId="1">
      <alignment/>
      <protection/>
    </xf>
    <xf numFmtId="175" fontId="18" fillId="0" borderId="0" applyFont="0" applyFill="0" applyBorder="0" applyAlignment="0" applyProtection="0"/>
    <xf numFmtId="0" fontId="22" fillId="0" borderId="0" applyFont="0" applyFill="0" applyBorder="0" applyAlignment="0" applyProtection="0"/>
    <xf numFmtId="176" fontId="18" fillId="0" borderId="0" applyFont="0" applyFill="0" applyBorder="0" applyAlignment="0" applyProtection="0"/>
    <xf numFmtId="0" fontId="18" fillId="0" borderId="0" applyNumberFormat="0" applyFill="0" applyBorder="0" applyAlignment="0" applyProtection="0"/>
    <xf numFmtId="177" fontId="22" fillId="0" borderId="0" applyFont="0" applyFill="0" applyBorder="0" applyAlignment="0" applyProtection="0"/>
    <xf numFmtId="178" fontId="22" fillId="0" borderId="0" applyFont="0" applyFill="0" applyBorder="0" applyAlignment="0" applyProtection="0"/>
    <xf numFmtId="179" fontId="23" fillId="0" borderId="0" applyFont="0" applyFill="0" applyBorder="0" applyAlignment="0" applyProtection="0"/>
    <xf numFmtId="180" fontId="23" fillId="0" borderId="0" applyFont="0" applyFill="0" applyBorder="0" applyAlignment="0" applyProtection="0"/>
    <xf numFmtId="6" fontId="24" fillId="0" borderId="0" applyFont="0" applyFill="0" applyBorder="0" applyAlignment="0" applyProtection="0"/>
    <xf numFmtId="0" fontId="22"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5" fillId="0" borderId="0">
      <alignment/>
      <protection/>
    </xf>
    <xf numFmtId="40" fontId="26" fillId="0" borderId="0" applyFont="0" applyFill="0" applyBorder="0" applyAlignment="0" applyProtection="0"/>
    <xf numFmtId="38" fontId="26" fillId="0" borderId="0" applyFont="0" applyFill="0" applyBorder="0" applyAlignment="0" applyProtection="0"/>
    <xf numFmtId="0" fontId="18" fillId="0" borderId="0" applyNumberFormat="0" applyFill="0" applyBorder="0" applyAlignment="0" applyProtection="0"/>
    <xf numFmtId="0" fontId="18" fillId="0" borderId="0">
      <alignment/>
      <protection/>
    </xf>
    <xf numFmtId="181" fontId="13" fillId="0" borderId="0" applyFont="0" applyFill="0" applyBorder="0" applyAlignment="0" applyProtection="0"/>
    <xf numFmtId="0" fontId="27" fillId="0" borderId="0" applyNumberFormat="0" applyFill="0" applyBorder="0" applyAlignment="0" applyProtection="0"/>
    <xf numFmtId="42" fontId="2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7" fillId="0" borderId="0" applyNumberFormat="0" applyFill="0" applyBorder="0" applyAlignment="0" applyProtection="0"/>
    <xf numFmtId="42" fontId="28" fillId="0" borderId="0" applyFont="0" applyFill="0" applyBorder="0" applyAlignment="0" applyProtection="0"/>
    <xf numFmtId="174" fontId="20" fillId="0" borderId="0" applyFont="0" applyFill="0" applyBorder="0" applyAlignment="0" applyProtection="0"/>
    <xf numFmtId="182" fontId="20" fillId="0" borderId="0" applyFont="0" applyFill="0" applyBorder="0" applyAlignment="0" applyProtection="0"/>
    <xf numFmtId="183" fontId="28" fillId="0" borderId="0" applyFont="0" applyFill="0" applyBorder="0" applyAlignment="0" applyProtection="0"/>
    <xf numFmtId="179" fontId="20" fillId="0" borderId="0" applyFont="0" applyFill="0" applyBorder="0" applyAlignment="0" applyProtection="0"/>
    <xf numFmtId="42" fontId="28" fillId="0" borderId="0" applyFont="0" applyFill="0" applyBorder="0" applyAlignment="0" applyProtection="0"/>
    <xf numFmtId="183" fontId="28" fillId="0" borderId="0" applyFont="0" applyFill="0" applyBorder="0" applyAlignment="0" applyProtection="0"/>
    <xf numFmtId="182" fontId="20" fillId="0" borderId="0" applyFont="0" applyFill="0" applyBorder="0" applyAlignment="0" applyProtection="0"/>
    <xf numFmtId="184" fontId="28" fillId="0" borderId="0" applyFont="0" applyFill="0" applyBorder="0" applyAlignment="0" applyProtection="0"/>
    <xf numFmtId="179" fontId="20" fillId="0" borderId="0" applyFont="0" applyFill="0" applyBorder="0" applyAlignment="0" applyProtection="0"/>
    <xf numFmtId="182" fontId="20" fillId="0" borderId="0" applyFont="0" applyFill="0" applyBorder="0" applyAlignment="0" applyProtection="0"/>
    <xf numFmtId="184" fontId="28" fillId="0" borderId="0" applyFont="0" applyFill="0" applyBorder="0" applyAlignment="0" applyProtection="0"/>
    <xf numFmtId="183" fontId="28" fillId="0" borderId="0" applyFont="0" applyFill="0" applyBorder="0" applyAlignment="0" applyProtection="0"/>
    <xf numFmtId="179" fontId="20" fillId="0" borderId="0" applyFont="0" applyFill="0" applyBorder="0" applyAlignment="0" applyProtection="0"/>
    <xf numFmtId="174" fontId="20" fillId="0" borderId="0" applyFont="0" applyFill="0" applyBorder="0" applyAlignment="0" applyProtection="0"/>
    <xf numFmtId="179" fontId="20" fillId="0" borderId="0" applyFont="0" applyFill="0" applyBorder="0" applyAlignment="0" applyProtection="0"/>
    <xf numFmtId="184" fontId="28" fillId="0" borderId="0" applyFont="0" applyFill="0" applyBorder="0" applyAlignment="0" applyProtection="0"/>
    <xf numFmtId="183" fontId="28" fillId="0" borderId="0" applyFont="0" applyFill="0" applyBorder="0" applyAlignment="0" applyProtection="0"/>
    <xf numFmtId="174" fontId="20" fillId="0" borderId="0" applyFont="0" applyFill="0" applyBorder="0" applyAlignment="0" applyProtection="0"/>
    <xf numFmtId="182" fontId="20" fillId="0" borderId="0" applyFont="0" applyFill="0" applyBorder="0" applyAlignment="0" applyProtection="0"/>
    <xf numFmtId="0" fontId="27" fillId="0" borderId="0" applyNumberFormat="0" applyFill="0" applyBorder="0" applyAlignment="0" applyProtection="0"/>
    <xf numFmtId="185" fontId="30" fillId="0" borderId="0" applyFont="0" applyFill="0" applyBorder="0" applyAlignment="0" applyProtection="0"/>
    <xf numFmtId="186" fontId="31" fillId="0" borderId="0" applyFont="0" applyFill="0" applyBorder="0" applyAlignment="0" applyProtection="0"/>
    <xf numFmtId="6" fontId="24" fillId="0" borderId="0" applyFont="0" applyFill="0" applyBorder="0" applyAlignment="0" applyProtection="0"/>
    <xf numFmtId="187" fontId="32" fillId="0" borderId="0" applyFont="0" applyFill="0" applyBorder="0" applyAlignment="0" applyProtection="0"/>
    <xf numFmtId="174" fontId="32" fillId="0" borderId="0" applyFont="0" applyFill="0" applyBorder="0" applyAlignment="0" applyProtection="0"/>
    <xf numFmtId="6" fontId="24" fillId="0" borderId="0" applyFont="0" applyFill="0" applyBorder="0" applyAlignment="0" applyProtection="0"/>
    <xf numFmtId="187" fontId="32" fillId="0" borderId="0" applyFont="0" applyFill="0" applyBorder="0" applyAlignment="0" applyProtection="0"/>
    <xf numFmtId="172" fontId="33" fillId="0" borderId="0" applyFont="0" applyFill="0" applyBorder="0" applyAlignment="0" applyProtection="0"/>
    <xf numFmtId="173" fontId="27" fillId="0" borderId="0" applyFont="0" applyFill="0" applyBorder="0" applyAlignment="0" applyProtection="0"/>
    <xf numFmtId="188" fontId="27" fillId="0" borderId="0" applyFont="0" applyFill="0" applyBorder="0" applyAlignment="0" applyProtection="0"/>
    <xf numFmtId="189" fontId="34" fillId="0" borderId="0" applyFont="0" applyFill="0" applyBorder="0" applyAlignment="0" applyProtection="0"/>
    <xf numFmtId="0" fontId="35" fillId="0" borderId="0">
      <alignment/>
      <protection/>
    </xf>
    <xf numFmtId="0" fontId="35" fillId="0" borderId="0">
      <alignment/>
      <protection/>
    </xf>
    <xf numFmtId="0" fontId="36" fillId="0" borderId="0">
      <alignment/>
      <protection/>
    </xf>
    <xf numFmtId="1" fontId="37" fillId="0" borderId="1" applyBorder="0" applyAlignment="0">
      <protection/>
    </xf>
    <xf numFmtId="3" fontId="21" fillId="0" borderId="1">
      <alignment/>
      <protection/>
    </xf>
    <xf numFmtId="3" fontId="21" fillId="0" borderId="1">
      <alignment/>
      <protection/>
    </xf>
    <xf numFmtId="185" fontId="30" fillId="0" borderId="0" applyFont="0" applyFill="0" applyBorder="0" applyAlignment="0" applyProtection="0"/>
    <xf numFmtId="0" fontId="38" fillId="2" borderId="0">
      <alignment/>
      <protection/>
    </xf>
    <xf numFmtId="0" fontId="39" fillId="2" borderId="0">
      <alignment/>
      <protection/>
    </xf>
    <xf numFmtId="0" fontId="38" fillId="2" borderId="0">
      <alignment/>
      <protection/>
    </xf>
    <xf numFmtId="0" fontId="38"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8" fillId="2" borderId="0">
      <alignment/>
      <protection/>
    </xf>
    <xf numFmtId="0" fontId="38" fillId="2" borderId="0">
      <alignment/>
      <protection/>
    </xf>
    <xf numFmtId="0" fontId="39" fillId="2" borderId="0">
      <alignment/>
      <protection/>
    </xf>
    <xf numFmtId="0" fontId="38" fillId="2" borderId="0">
      <alignment/>
      <protection/>
    </xf>
    <xf numFmtId="0" fontId="38" fillId="2" borderId="0">
      <alignment/>
      <protection/>
    </xf>
    <xf numFmtId="0" fontId="39" fillId="2" borderId="0">
      <alignment/>
      <protection/>
    </xf>
    <xf numFmtId="0" fontId="38" fillId="2" borderId="0">
      <alignment/>
      <protection/>
    </xf>
    <xf numFmtId="0" fontId="39" fillId="2" borderId="0">
      <alignment/>
      <protection/>
    </xf>
    <xf numFmtId="0" fontId="38" fillId="2" borderId="0">
      <alignment/>
      <protection/>
    </xf>
    <xf numFmtId="0" fontId="38" fillId="2" borderId="0">
      <alignment/>
      <protection/>
    </xf>
    <xf numFmtId="0" fontId="38" fillId="2" borderId="0">
      <alignment/>
      <protection/>
    </xf>
    <xf numFmtId="0" fontId="39" fillId="2" borderId="0">
      <alignment/>
      <protection/>
    </xf>
    <xf numFmtId="0" fontId="38" fillId="2" borderId="0">
      <alignment/>
      <protection/>
    </xf>
    <xf numFmtId="0" fontId="39" fillId="2" borderId="0">
      <alignment/>
      <protection/>
    </xf>
    <xf numFmtId="0" fontId="38" fillId="2" borderId="0">
      <alignment/>
      <protection/>
    </xf>
    <xf numFmtId="0" fontId="39" fillId="2" borderId="0">
      <alignment/>
      <protection/>
    </xf>
    <xf numFmtId="0" fontId="38" fillId="2" borderId="0">
      <alignment/>
      <protection/>
    </xf>
    <xf numFmtId="0" fontId="38" fillId="2" borderId="0">
      <alignment/>
      <protection/>
    </xf>
    <xf numFmtId="0" fontId="38" fillId="2" borderId="0">
      <alignment/>
      <protection/>
    </xf>
    <xf numFmtId="0" fontId="38" fillId="2" borderId="0">
      <alignment/>
      <protection/>
    </xf>
    <xf numFmtId="0" fontId="38" fillId="2" borderId="0">
      <alignment/>
      <protection/>
    </xf>
    <xf numFmtId="0" fontId="39" fillId="2" borderId="0">
      <alignment/>
      <protection/>
    </xf>
    <xf numFmtId="0" fontId="38" fillId="2" borderId="0">
      <alignment/>
      <protection/>
    </xf>
    <xf numFmtId="0" fontId="38" fillId="2" borderId="0">
      <alignment/>
      <protection/>
    </xf>
    <xf numFmtId="0" fontId="38" fillId="2" borderId="0">
      <alignment/>
      <protection/>
    </xf>
    <xf numFmtId="0" fontId="38" fillId="2" borderId="0">
      <alignment/>
      <protection/>
    </xf>
    <xf numFmtId="0" fontId="38" fillId="2" borderId="0">
      <alignment/>
      <protection/>
    </xf>
    <xf numFmtId="0" fontId="39" fillId="2" borderId="0">
      <alignment/>
      <protection/>
    </xf>
    <xf numFmtId="0" fontId="39" fillId="2" borderId="0">
      <alignment/>
      <protection/>
    </xf>
    <xf numFmtId="0" fontId="38" fillId="2" borderId="0">
      <alignment/>
      <protection/>
    </xf>
    <xf numFmtId="0" fontId="38" fillId="2" borderId="0">
      <alignment/>
      <protection/>
    </xf>
    <xf numFmtId="0" fontId="38" fillId="2" borderId="0">
      <alignment/>
      <protection/>
    </xf>
    <xf numFmtId="0" fontId="38" fillId="2" borderId="0">
      <alignment/>
      <protection/>
    </xf>
    <xf numFmtId="0" fontId="39" fillId="2" borderId="0">
      <alignment/>
      <protection/>
    </xf>
    <xf numFmtId="0" fontId="39" fillId="2" borderId="0">
      <alignment/>
      <protection/>
    </xf>
    <xf numFmtId="0" fontId="38" fillId="2" borderId="0">
      <alignment/>
      <protection/>
    </xf>
    <xf numFmtId="0" fontId="38" fillId="2" borderId="0">
      <alignment/>
      <protection/>
    </xf>
    <xf numFmtId="0" fontId="38" fillId="2" borderId="0">
      <alignment/>
      <protection/>
    </xf>
    <xf numFmtId="0" fontId="38" fillId="2" borderId="0">
      <alignment/>
      <protection/>
    </xf>
    <xf numFmtId="0" fontId="39" fillId="2" borderId="0">
      <alignment/>
      <protection/>
    </xf>
    <xf numFmtId="0" fontId="39" fillId="2" borderId="0">
      <alignment/>
      <protection/>
    </xf>
    <xf numFmtId="0" fontId="39" fillId="2" borderId="0">
      <alignment/>
      <protection/>
    </xf>
    <xf numFmtId="0" fontId="38" fillId="2" borderId="0">
      <alignment/>
      <protection/>
    </xf>
    <xf numFmtId="0" fontId="39" fillId="2" borderId="0">
      <alignment/>
      <protection/>
    </xf>
    <xf numFmtId="0" fontId="39" fillId="2" borderId="0">
      <alignment/>
      <protection/>
    </xf>
    <xf numFmtId="0" fontId="39" fillId="2" borderId="0">
      <alignment/>
      <protection/>
    </xf>
    <xf numFmtId="0" fontId="38" fillId="2" borderId="0">
      <alignment/>
      <protection/>
    </xf>
    <xf numFmtId="0" fontId="39" fillId="2" borderId="0">
      <alignment/>
      <protection/>
    </xf>
    <xf numFmtId="0" fontId="38"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8"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8" fillId="2" borderId="0">
      <alignment/>
      <protection/>
    </xf>
    <xf numFmtId="0" fontId="38" fillId="2" borderId="0">
      <alignment/>
      <protection/>
    </xf>
    <xf numFmtId="0" fontId="38" fillId="2" borderId="0">
      <alignment/>
      <protection/>
    </xf>
    <xf numFmtId="0" fontId="39" fillId="2" borderId="0">
      <alignment/>
      <protection/>
    </xf>
    <xf numFmtId="0" fontId="38" fillId="2" borderId="0">
      <alignment/>
      <protection/>
    </xf>
    <xf numFmtId="0" fontId="38"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8"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8" fillId="2" borderId="0">
      <alignment/>
      <protection/>
    </xf>
    <xf numFmtId="0" fontId="38" fillId="2" borderId="0">
      <alignment/>
      <protection/>
    </xf>
    <xf numFmtId="0" fontId="38" fillId="2" borderId="0">
      <alignment/>
      <protection/>
    </xf>
    <xf numFmtId="0" fontId="39" fillId="2" borderId="0">
      <alignment/>
      <protection/>
    </xf>
    <xf numFmtId="0" fontId="38" fillId="2" borderId="0">
      <alignment/>
      <protection/>
    </xf>
    <xf numFmtId="0" fontId="38" fillId="2" borderId="0">
      <alignment/>
      <protection/>
    </xf>
    <xf numFmtId="0" fontId="38" fillId="2" borderId="0">
      <alignment/>
      <protection/>
    </xf>
    <xf numFmtId="0" fontId="39" fillId="2" borderId="0">
      <alignment/>
      <protection/>
    </xf>
    <xf numFmtId="0" fontId="38" fillId="2" borderId="0">
      <alignment/>
      <protection/>
    </xf>
    <xf numFmtId="0" fontId="38" fillId="2" borderId="0">
      <alignment/>
      <protection/>
    </xf>
    <xf numFmtId="0" fontId="38" fillId="2" borderId="0">
      <alignment/>
      <protection/>
    </xf>
    <xf numFmtId="0" fontId="39" fillId="2" borderId="0">
      <alignment/>
      <protection/>
    </xf>
    <xf numFmtId="0" fontId="39" fillId="2" borderId="0">
      <alignment/>
      <protection/>
    </xf>
    <xf numFmtId="0" fontId="38" fillId="2" borderId="0">
      <alignment/>
      <protection/>
    </xf>
    <xf numFmtId="0" fontId="38" fillId="2" borderId="0">
      <alignment/>
      <protection/>
    </xf>
    <xf numFmtId="0" fontId="39" fillId="2" borderId="0">
      <alignment/>
      <protection/>
    </xf>
    <xf numFmtId="0" fontId="38" fillId="2" borderId="0">
      <alignment/>
      <protection/>
    </xf>
    <xf numFmtId="0" fontId="38" fillId="2" borderId="0">
      <alignment/>
      <protection/>
    </xf>
    <xf numFmtId="0" fontId="39" fillId="2" borderId="0">
      <alignment/>
      <protection/>
    </xf>
    <xf numFmtId="0" fontId="38" fillId="2" borderId="0">
      <alignment/>
      <protection/>
    </xf>
    <xf numFmtId="0" fontId="38" fillId="2" borderId="0">
      <alignment/>
      <protection/>
    </xf>
    <xf numFmtId="0" fontId="39" fillId="2" borderId="0">
      <alignment/>
      <protection/>
    </xf>
    <xf numFmtId="0" fontId="38" fillId="2" borderId="0">
      <alignment/>
      <protection/>
    </xf>
    <xf numFmtId="0" fontId="39" fillId="2" borderId="0">
      <alignment/>
      <protection/>
    </xf>
    <xf numFmtId="0" fontId="38" fillId="2" borderId="0">
      <alignment/>
      <protection/>
    </xf>
    <xf numFmtId="0" fontId="38" fillId="2" borderId="0">
      <alignment/>
      <protection/>
    </xf>
    <xf numFmtId="0" fontId="38" fillId="2" borderId="0">
      <alignment/>
      <protection/>
    </xf>
    <xf numFmtId="0" fontId="38" fillId="2" borderId="0">
      <alignment/>
      <protection/>
    </xf>
    <xf numFmtId="0" fontId="39" fillId="2" borderId="0">
      <alignment/>
      <protection/>
    </xf>
    <xf numFmtId="0" fontId="39" fillId="2" borderId="0">
      <alignment/>
      <protection/>
    </xf>
    <xf numFmtId="0" fontId="38" fillId="2" borderId="0">
      <alignment/>
      <protection/>
    </xf>
    <xf numFmtId="0" fontId="39" fillId="2" borderId="0">
      <alignment/>
      <protection/>
    </xf>
    <xf numFmtId="0" fontId="40" fillId="0" borderId="1" applyNumberFormat="0" applyFont="0" applyBorder="0">
      <alignment horizontal="left" indent="2"/>
      <protection/>
    </xf>
    <xf numFmtId="0" fontId="40" fillId="0" borderId="1" applyNumberFormat="0" applyFont="0" applyBorder="0">
      <alignment horizontal="left" indent="2"/>
      <protection/>
    </xf>
    <xf numFmtId="9" fontId="30" fillId="0" borderId="0" applyFont="0" applyFill="0" applyBorder="0" applyAlignment="0" applyProtection="0"/>
    <xf numFmtId="9" fontId="34" fillId="0" borderId="0" applyFont="0" applyFill="0" applyBorder="0" applyAlignment="0" applyProtection="0"/>
    <xf numFmtId="9" fontId="41" fillId="0" borderId="0" applyBorder="0" applyAlignment="0" applyProtection="0"/>
    <xf numFmtId="0" fontId="42" fillId="2" borderId="0">
      <alignment/>
      <protection/>
    </xf>
    <xf numFmtId="0" fontId="42" fillId="2" borderId="0">
      <alignment/>
      <protection/>
    </xf>
    <xf numFmtId="0" fontId="39" fillId="2" borderId="0">
      <alignment/>
      <protection/>
    </xf>
    <xf numFmtId="0" fontId="42" fillId="2" borderId="0">
      <alignment/>
      <protection/>
    </xf>
    <xf numFmtId="0" fontId="42"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42" fillId="2" borderId="0">
      <alignment/>
      <protection/>
    </xf>
    <xf numFmtId="0" fontId="42" fillId="2" borderId="0">
      <alignment/>
      <protection/>
    </xf>
    <xf numFmtId="0" fontId="39" fillId="2" borderId="0">
      <alignment/>
      <protection/>
    </xf>
    <xf numFmtId="0" fontId="42" fillId="2" borderId="0">
      <alignment/>
      <protection/>
    </xf>
    <xf numFmtId="0" fontId="42" fillId="2" borderId="0">
      <alignment/>
      <protection/>
    </xf>
    <xf numFmtId="0" fontId="39" fillId="2" borderId="0">
      <alignment/>
      <protection/>
    </xf>
    <xf numFmtId="0" fontId="42" fillId="2" borderId="0">
      <alignment/>
      <protection/>
    </xf>
    <xf numFmtId="0" fontId="39" fillId="2" borderId="0">
      <alignment/>
      <protection/>
    </xf>
    <xf numFmtId="0" fontId="42" fillId="2" borderId="0">
      <alignment/>
      <protection/>
    </xf>
    <xf numFmtId="0" fontId="42" fillId="2" borderId="0">
      <alignment/>
      <protection/>
    </xf>
    <xf numFmtId="0" fontId="42" fillId="2" borderId="0">
      <alignment/>
      <protection/>
    </xf>
    <xf numFmtId="0" fontId="39" fillId="2" borderId="0">
      <alignment/>
      <protection/>
    </xf>
    <xf numFmtId="0" fontId="42" fillId="2" borderId="0">
      <alignment/>
      <protection/>
    </xf>
    <xf numFmtId="0" fontId="39" fillId="2" borderId="0">
      <alignment/>
      <protection/>
    </xf>
    <xf numFmtId="0" fontId="42" fillId="2" borderId="0">
      <alignment/>
      <protection/>
    </xf>
    <xf numFmtId="0" fontId="39" fillId="2"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39" fillId="2"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39" fillId="2" borderId="0">
      <alignment/>
      <protection/>
    </xf>
    <xf numFmtId="0" fontId="39" fillId="2"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39" fillId="2" borderId="0">
      <alignment/>
      <protection/>
    </xf>
    <xf numFmtId="0" fontId="39" fillId="2"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39" fillId="2" borderId="0">
      <alignment/>
      <protection/>
    </xf>
    <xf numFmtId="0" fontId="39" fillId="2" borderId="0">
      <alignment/>
      <protection/>
    </xf>
    <xf numFmtId="0" fontId="39" fillId="2" borderId="0">
      <alignment/>
      <protection/>
    </xf>
    <xf numFmtId="0" fontId="42" fillId="2" borderId="0">
      <alignment/>
      <protection/>
    </xf>
    <xf numFmtId="0" fontId="39" fillId="2" borderId="0">
      <alignment/>
      <protection/>
    </xf>
    <xf numFmtId="0" fontId="39" fillId="2" borderId="0">
      <alignment/>
      <protection/>
    </xf>
    <xf numFmtId="0" fontId="39" fillId="2" borderId="0">
      <alignment/>
      <protection/>
    </xf>
    <xf numFmtId="0" fontId="42" fillId="2" borderId="0">
      <alignment/>
      <protection/>
    </xf>
    <xf numFmtId="0" fontId="39" fillId="2" borderId="0">
      <alignment/>
      <protection/>
    </xf>
    <xf numFmtId="0" fontId="42"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42"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42" fillId="2" borderId="0">
      <alignment/>
      <protection/>
    </xf>
    <xf numFmtId="0" fontId="42" fillId="2" borderId="0">
      <alignment/>
      <protection/>
    </xf>
    <xf numFmtId="0" fontId="42" fillId="2" borderId="0">
      <alignment/>
      <protection/>
    </xf>
    <xf numFmtId="0" fontId="39" fillId="2" borderId="0">
      <alignment/>
      <protection/>
    </xf>
    <xf numFmtId="0" fontId="42" fillId="2" borderId="0">
      <alignment/>
      <protection/>
    </xf>
    <xf numFmtId="0" fontId="42"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42"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42" fillId="2" borderId="0">
      <alignment/>
      <protection/>
    </xf>
    <xf numFmtId="0" fontId="42" fillId="2" borderId="0">
      <alignment/>
      <protection/>
    </xf>
    <xf numFmtId="0" fontId="42" fillId="2" borderId="0">
      <alignment/>
      <protection/>
    </xf>
    <xf numFmtId="0" fontId="39" fillId="2" borderId="0">
      <alignment/>
      <protection/>
    </xf>
    <xf numFmtId="0" fontId="42" fillId="2" borderId="0">
      <alignment/>
      <protection/>
    </xf>
    <xf numFmtId="0" fontId="42" fillId="2" borderId="0">
      <alignment/>
      <protection/>
    </xf>
    <xf numFmtId="0" fontId="42" fillId="2" borderId="0">
      <alignment/>
      <protection/>
    </xf>
    <xf numFmtId="0" fontId="39" fillId="2" borderId="0">
      <alignment/>
      <protection/>
    </xf>
    <xf numFmtId="0" fontId="42" fillId="2" borderId="0">
      <alignment/>
      <protection/>
    </xf>
    <xf numFmtId="0" fontId="42" fillId="2" borderId="0">
      <alignment/>
      <protection/>
    </xf>
    <xf numFmtId="0" fontId="42" fillId="2" borderId="0">
      <alignment/>
      <protection/>
    </xf>
    <xf numFmtId="0" fontId="39" fillId="2" borderId="0">
      <alignment/>
      <protection/>
    </xf>
    <xf numFmtId="0" fontId="39" fillId="2" borderId="0">
      <alignment/>
      <protection/>
    </xf>
    <xf numFmtId="0" fontId="42" fillId="2" borderId="0">
      <alignment/>
      <protection/>
    </xf>
    <xf numFmtId="0" fontId="42" fillId="2" borderId="0">
      <alignment/>
      <protection/>
    </xf>
    <xf numFmtId="0" fontId="39" fillId="2" borderId="0">
      <alignment/>
      <protection/>
    </xf>
    <xf numFmtId="0" fontId="42" fillId="2" borderId="0">
      <alignment/>
      <protection/>
    </xf>
    <xf numFmtId="0" fontId="42" fillId="2" borderId="0">
      <alignment/>
      <protection/>
    </xf>
    <xf numFmtId="0" fontId="39" fillId="2" borderId="0">
      <alignment/>
      <protection/>
    </xf>
    <xf numFmtId="0" fontId="42" fillId="2" borderId="0">
      <alignment/>
      <protection/>
    </xf>
    <xf numFmtId="0" fontId="42" fillId="2" borderId="0">
      <alignment/>
      <protection/>
    </xf>
    <xf numFmtId="0" fontId="39" fillId="2" borderId="0">
      <alignment/>
      <protection/>
    </xf>
    <xf numFmtId="0" fontId="42" fillId="2" borderId="0">
      <alignment/>
      <protection/>
    </xf>
    <xf numFmtId="0" fontId="39" fillId="2" borderId="0">
      <alignment/>
      <protection/>
    </xf>
    <xf numFmtId="0" fontId="42" fillId="2" borderId="0">
      <alignment/>
      <protection/>
    </xf>
    <xf numFmtId="0" fontId="42" fillId="2" borderId="0">
      <alignment/>
      <protection/>
    </xf>
    <xf numFmtId="0" fontId="42" fillId="2" borderId="0">
      <alignment/>
      <protection/>
    </xf>
    <xf numFmtId="0" fontId="42" fillId="2" borderId="0">
      <alignment/>
      <protection/>
    </xf>
    <xf numFmtId="0" fontId="39" fillId="2" borderId="0">
      <alignment/>
      <protection/>
    </xf>
    <xf numFmtId="0" fontId="39" fillId="2" borderId="0">
      <alignment/>
      <protection/>
    </xf>
    <xf numFmtId="0" fontId="42" fillId="2" borderId="0">
      <alignment/>
      <protection/>
    </xf>
    <xf numFmtId="0" fontId="39" fillId="2" borderId="0">
      <alignment/>
      <protection/>
    </xf>
    <xf numFmtId="0" fontId="40" fillId="0" borderId="1" applyNumberFormat="0" applyFont="0" applyBorder="0" applyAlignment="0">
      <protection/>
    </xf>
    <xf numFmtId="0" fontId="40" fillId="0" borderId="1" applyNumberFormat="0" applyFont="0" applyBorder="0" applyAlignment="0">
      <protection/>
    </xf>
    <xf numFmtId="0" fontId="13" fillId="0" borderId="0">
      <alignment/>
      <protection/>
    </xf>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4" fillId="2" borderId="0">
      <alignment/>
      <protection/>
    </xf>
    <xf numFmtId="0" fontId="44" fillId="2" borderId="0">
      <alignment/>
      <protection/>
    </xf>
    <xf numFmtId="0" fontId="39" fillId="2" borderId="0">
      <alignment/>
      <protection/>
    </xf>
    <xf numFmtId="0" fontId="44" fillId="2" borderId="0">
      <alignment/>
      <protection/>
    </xf>
    <xf numFmtId="0" fontId="44"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44" fillId="2" borderId="0">
      <alignment/>
      <protection/>
    </xf>
    <xf numFmtId="0" fontId="44" fillId="2" borderId="0">
      <alignment/>
      <protection/>
    </xf>
    <xf numFmtId="0" fontId="39" fillId="2" borderId="0">
      <alignment/>
      <protection/>
    </xf>
    <xf numFmtId="0" fontId="44" fillId="2" borderId="0">
      <alignment/>
      <protection/>
    </xf>
    <xf numFmtId="0" fontId="44" fillId="2" borderId="0">
      <alignment/>
      <protection/>
    </xf>
    <xf numFmtId="0" fontId="39" fillId="2" borderId="0">
      <alignment/>
      <protection/>
    </xf>
    <xf numFmtId="0" fontId="44" fillId="2" borderId="0">
      <alignment/>
      <protection/>
    </xf>
    <xf numFmtId="0" fontId="39" fillId="2" borderId="0">
      <alignment/>
      <protection/>
    </xf>
    <xf numFmtId="0" fontId="44" fillId="2" borderId="0">
      <alignment/>
      <protection/>
    </xf>
    <xf numFmtId="0" fontId="44" fillId="2" borderId="0">
      <alignment/>
      <protection/>
    </xf>
    <xf numFmtId="0" fontId="44" fillId="2" borderId="0">
      <alignment/>
      <protection/>
    </xf>
    <xf numFmtId="0" fontId="39" fillId="2" borderId="0">
      <alignment/>
      <protection/>
    </xf>
    <xf numFmtId="0" fontId="44" fillId="2" borderId="0">
      <alignment/>
      <protection/>
    </xf>
    <xf numFmtId="0" fontId="39" fillId="2" borderId="0">
      <alignment/>
      <protection/>
    </xf>
    <xf numFmtId="0" fontId="44" fillId="2" borderId="0">
      <alignment/>
      <protection/>
    </xf>
    <xf numFmtId="0" fontId="39"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39"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39" fillId="2" borderId="0">
      <alignment/>
      <protection/>
    </xf>
    <xf numFmtId="0" fontId="39"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39" fillId="2" borderId="0">
      <alignment/>
      <protection/>
    </xf>
    <xf numFmtId="0" fontId="39"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39" fillId="2" borderId="0">
      <alignment/>
      <protection/>
    </xf>
    <xf numFmtId="0" fontId="39" fillId="2" borderId="0">
      <alignment/>
      <protection/>
    </xf>
    <xf numFmtId="0" fontId="39" fillId="2" borderId="0">
      <alignment/>
      <protection/>
    </xf>
    <xf numFmtId="0" fontId="44" fillId="2" borderId="0">
      <alignment/>
      <protection/>
    </xf>
    <xf numFmtId="0" fontId="39" fillId="2" borderId="0">
      <alignment/>
      <protection/>
    </xf>
    <xf numFmtId="0" fontId="39" fillId="2" borderId="0">
      <alignment/>
      <protection/>
    </xf>
    <xf numFmtId="0" fontId="39" fillId="2" borderId="0">
      <alignment/>
      <protection/>
    </xf>
    <xf numFmtId="0" fontId="44" fillId="2" borderId="0">
      <alignment/>
      <protection/>
    </xf>
    <xf numFmtId="0" fontId="39" fillId="2" borderId="0">
      <alignment/>
      <protection/>
    </xf>
    <xf numFmtId="0" fontId="44"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44"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44" fillId="2" borderId="0">
      <alignment/>
      <protection/>
    </xf>
    <xf numFmtId="0" fontId="44" fillId="2" borderId="0">
      <alignment/>
      <protection/>
    </xf>
    <xf numFmtId="0" fontId="44" fillId="2" borderId="0">
      <alignment/>
      <protection/>
    </xf>
    <xf numFmtId="0" fontId="39" fillId="2" borderId="0">
      <alignment/>
      <protection/>
    </xf>
    <xf numFmtId="0" fontId="44" fillId="2" borderId="0">
      <alignment/>
      <protection/>
    </xf>
    <xf numFmtId="0" fontId="44"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44"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39" fillId="2" borderId="0">
      <alignment/>
      <protection/>
    </xf>
    <xf numFmtId="0" fontId="44" fillId="2" borderId="0">
      <alignment/>
      <protection/>
    </xf>
    <xf numFmtId="0" fontId="44" fillId="2" borderId="0">
      <alignment/>
      <protection/>
    </xf>
    <xf numFmtId="0" fontId="44" fillId="2" borderId="0">
      <alignment/>
      <protection/>
    </xf>
    <xf numFmtId="0" fontId="39" fillId="2" borderId="0">
      <alignment/>
      <protection/>
    </xf>
    <xf numFmtId="0" fontId="44" fillId="2" borderId="0">
      <alignment/>
      <protection/>
    </xf>
    <xf numFmtId="0" fontId="44" fillId="2" borderId="0">
      <alignment/>
      <protection/>
    </xf>
    <xf numFmtId="0" fontId="44" fillId="2" borderId="0">
      <alignment/>
      <protection/>
    </xf>
    <xf numFmtId="0" fontId="39" fillId="2" borderId="0">
      <alignment/>
      <protection/>
    </xf>
    <xf numFmtId="0" fontId="44" fillId="2" borderId="0">
      <alignment/>
      <protection/>
    </xf>
    <xf numFmtId="0" fontId="44" fillId="2" borderId="0">
      <alignment/>
      <protection/>
    </xf>
    <xf numFmtId="0" fontId="44" fillId="2" borderId="0">
      <alignment/>
      <protection/>
    </xf>
    <xf numFmtId="0" fontId="39" fillId="2" borderId="0">
      <alignment/>
      <protection/>
    </xf>
    <xf numFmtId="0" fontId="39" fillId="2" borderId="0">
      <alignment/>
      <protection/>
    </xf>
    <xf numFmtId="0" fontId="44" fillId="2" borderId="0">
      <alignment/>
      <protection/>
    </xf>
    <xf numFmtId="0" fontId="44" fillId="2" borderId="0">
      <alignment/>
      <protection/>
    </xf>
    <xf numFmtId="0" fontId="39" fillId="2" borderId="0">
      <alignment/>
      <protection/>
    </xf>
    <xf numFmtId="0" fontId="44" fillId="2" borderId="0">
      <alignment/>
      <protection/>
    </xf>
    <xf numFmtId="0" fontId="44" fillId="2" borderId="0">
      <alignment/>
      <protection/>
    </xf>
    <xf numFmtId="0" fontId="39" fillId="2" borderId="0">
      <alignment/>
      <protection/>
    </xf>
    <xf numFmtId="0" fontId="44" fillId="2" borderId="0">
      <alignment/>
      <protection/>
    </xf>
    <xf numFmtId="0" fontId="44" fillId="2" borderId="0">
      <alignment/>
      <protection/>
    </xf>
    <xf numFmtId="0" fontId="39" fillId="2" borderId="0">
      <alignment/>
      <protection/>
    </xf>
    <xf numFmtId="0" fontId="44" fillId="2" borderId="0">
      <alignment/>
      <protection/>
    </xf>
    <xf numFmtId="0" fontId="39" fillId="2" borderId="0">
      <alignment/>
      <protection/>
    </xf>
    <xf numFmtId="0" fontId="44" fillId="2" borderId="0">
      <alignment/>
      <protection/>
    </xf>
    <xf numFmtId="0" fontId="44" fillId="2" borderId="0">
      <alignment/>
      <protection/>
    </xf>
    <xf numFmtId="0" fontId="44" fillId="2" borderId="0">
      <alignment/>
      <protection/>
    </xf>
    <xf numFmtId="0" fontId="39" fillId="2" borderId="0">
      <alignment/>
      <protection/>
    </xf>
    <xf numFmtId="0" fontId="39" fillId="2" borderId="0">
      <alignment/>
      <protection/>
    </xf>
    <xf numFmtId="0" fontId="44" fillId="2" borderId="0">
      <alignment/>
      <protection/>
    </xf>
    <xf numFmtId="0" fontId="39" fillId="2" borderId="0">
      <alignment/>
      <protection/>
    </xf>
    <xf numFmtId="0" fontId="45"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39" fillId="0" borderId="0">
      <alignment wrapText="1"/>
      <protection/>
    </xf>
    <xf numFmtId="0" fontId="39"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39" fillId="0" borderId="0">
      <alignment wrapText="1"/>
      <protection/>
    </xf>
    <xf numFmtId="0" fontId="39" fillId="0" borderId="0">
      <alignment wrapText="1"/>
      <protection/>
    </xf>
    <xf numFmtId="0" fontId="45" fillId="0" borderId="0">
      <alignment wrapText="1"/>
      <protection/>
    </xf>
    <xf numFmtId="0" fontId="39" fillId="0" borderId="0">
      <alignment wrapText="1"/>
      <protection/>
    </xf>
    <xf numFmtId="0" fontId="39" fillId="0" borderId="0">
      <alignment wrapText="1"/>
      <protection/>
    </xf>
    <xf numFmtId="0" fontId="39"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39" fillId="0" borderId="0">
      <alignment wrapText="1"/>
      <protection/>
    </xf>
    <xf numFmtId="0" fontId="39" fillId="0" borderId="0">
      <alignment wrapText="1"/>
      <protection/>
    </xf>
    <xf numFmtId="0" fontId="39" fillId="0" borderId="0">
      <alignment wrapText="1"/>
      <protection/>
    </xf>
    <xf numFmtId="0" fontId="39" fillId="0" borderId="0">
      <alignment wrapText="1"/>
      <protection/>
    </xf>
    <xf numFmtId="0" fontId="45" fillId="0" borderId="0">
      <alignment wrapText="1"/>
      <protection/>
    </xf>
    <xf numFmtId="0" fontId="39" fillId="0" borderId="0">
      <alignment wrapText="1"/>
      <protection/>
    </xf>
    <xf numFmtId="0" fontId="39" fillId="0" borderId="0">
      <alignment wrapText="1"/>
      <protection/>
    </xf>
    <xf numFmtId="0" fontId="39"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39" fillId="0" borderId="0">
      <alignment wrapText="1"/>
      <protection/>
    </xf>
    <xf numFmtId="0" fontId="39" fillId="0" borderId="0">
      <alignment wrapText="1"/>
      <protection/>
    </xf>
    <xf numFmtId="0" fontId="39" fillId="0" borderId="0">
      <alignment wrapText="1"/>
      <protection/>
    </xf>
    <xf numFmtId="0" fontId="39" fillId="0" borderId="0">
      <alignment wrapText="1"/>
      <protection/>
    </xf>
    <xf numFmtId="0" fontId="45" fillId="0" borderId="0">
      <alignment wrapText="1"/>
      <protection/>
    </xf>
    <xf numFmtId="0" fontId="39" fillId="0" borderId="0">
      <alignment wrapText="1"/>
      <protection/>
    </xf>
    <xf numFmtId="0" fontId="39" fillId="0" borderId="0">
      <alignment wrapText="1"/>
      <protection/>
    </xf>
    <xf numFmtId="0" fontId="39" fillId="0" borderId="0">
      <alignment wrapText="1"/>
      <protection/>
    </xf>
    <xf numFmtId="0" fontId="39"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39"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39" fillId="0" borderId="0">
      <alignment wrapText="1"/>
      <protection/>
    </xf>
    <xf numFmtId="0" fontId="39" fillId="0" borderId="0">
      <alignment wrapText="1"/>
      <protection/>
    </xf>
    <xf numFmtId="0" fontId="45" fillId="0" borderId="0">
      <alignment wrapText="1"/>
      <protection/>
    </xf>
    <xf numFmtId="0" fontId="39" fillId="0" borderId="0">
      <alignment wrapText="1"/>
      <protection/>
    </xf>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2" borderId="0" applyNumberFormat="0" applyBorder="0" applyAlignment="0" applyProtection="0"/>
    <xf numFmtId="0" fontId="27" fillId="0" borderId="0">
      <alignment/>
      <protection/>
    </xf>
    <xf numFmtId="0" fontId="46" fillId="13"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20" borderId="0" applyNumberFormat="0" applyBorder="0" applyAlignment="0" applyProtection="0"/>
    <xf numFmtId="190" fontId="18" fillId="0" borderId="0" applyFont="0" applyFill="0" applyBorder="0" applyAlignment="0" applyProtection="0"/>
    <xf numFmtId="0" fontId="47" fillId="0" borderId="0" applyFont="0" applyFill="0" applyBorder="0" applyAlignment="0" applyProtection="0"/>
    <xf numFmtId="185" fontId="48" fillId="0" borderId="0" applyFont="0" applyFill="0" applyBorder="0" applyAlignment="0" applyProtection="0"/>
    <xf numFmtId="191" fontId="18" fillId="0" borderId="0" applyFont="0" applyFill="0" applyBorder="0" applyAlignment="0" applyProtection="0"/>
    <xf numFmtId="0" fontId="47" fillId="0" borderId="0" applyFont="0" applyFill="0" applyBorder="0" applyAlignment="0" applyProtection="0"/>
    <xf numFmtId="191" fontId="18" fillId="0" borderId="0" applyFont="0" applyFill="0" applyBorder="0" applyAlignment="0" applyProtection="0"/>
    <xf numFmtId="0" fontId="49" fillId="0" borderId="0">
      <alignment horizontal="center" wrapText="1"/>
      <protection locked="0"/>
    </xf>
    <xf numFmtId="178" fontId="50" fillId="0" borderId="0" applyFont="0" applyFill="0" applyBorder="0" applyAlignment="0" applyProtection="0"/>
    <xf numFmtId="0" fontId="47" fillId="0" borderId="0" applyFont="0" applyFill="0" applyBorder="0" applyAlignment="0" applyProtection="0"/>
    <xf numFmtId="178" fontId="50" fillId="0" borderId="0" applyFont="0" applyFill="0" applyBorder="0" applyAlignment="0" applyProtection="0"/>
    <xf numFmtId="177" fontId="50" fillId="0" borderId="0" applyFont="0" applyFill="0" applyBorder="0" applyAlignment="0" applyProtection="0"/>
    <xf numFmtId="0" fontId="47" fillId="0" borderId="0" applyFont="0" applyFill="0" applyBorder="0" applyAlignment="0" applyProtection="0"/>
    <xf numFmtId="177" fontId="50" fillId="0" borderId="0" applyFont="0" applyFill="0" applyBorder="0" applyAlignment="0" applyProtection="0"/>
    <xf numFmtId="174" fontId="20" fillId="0" borderId="0" applyFont="0" applyFill="0" applyBorder="0" applyAlignment="0" applyProtection="0"/>
    <xf numFmtId="0" fontId="51" fillId="4" borderId="0" applyNumberFormat="0" applyBorder="0" applyAlignment="0" applyProtection="0"/>
    <xf numFmtId="0" fontId="52" fillId="0" borderId="0">
      <alignment/>
      <protection/>
    </xf>
    <xf numFmtId="0" fontId="53" fillId="0" borderId="0" applyNumberFormat="0" applyFill="0" applyBorder="0" applyAlignment="0" applyProtection="0"/>
    <xf numFmtId="0" fontId="47" fillId="0" borderId="0">
      <alignment/>
      <protection/>
    </xf>
    <xf numFmtId="0" fontId="9" fillId="0" borderId="0">
      <alignment/>
      <protection/>
    </xf>
    <xf numFmtId="0" fontId="47" fillId="0" borderId="0">
      <alignment/>
      <protection/>
    </xf>
    <xf numFmtId="0" fontId="54" fillId="0" borderId="0">
      <alignment/>
      <protection/>
    </xf>
    <xf numFmtId="0" fontId="55" fillId="0" borderId="0">
      <alignment/>
      <protection/>
    </xf>
    <xf numFmtId="0" fontId="56" fillId="0" borderId="0">
      <alignment/>
      <protection/>
    </xf>
    <xf numFmtId="192" fontId="29" fillId="0" borderId="0" applyFill="0" applyBorder="0" applyAlignment="0">
      <protection/>
    </xf>
    <xf numFmtId="193" fontId="57" fillId="0" borderId="0" applyFill="0" applyBorder="0" applyAlignment="0">
      <protection/>
    </xf>
    <xf numFmtId="171" fontId="57" fillId="0" borderId="0" applyFill="0" applyBorder="0" applyAlignment="0">
      <protection/>
    </xf>
    <xf numFmtId="194" fontId="13" fillId="0" borderId="0" applyFill="0" applyBorder="0" applyAlignment="0">
      <protection/>
    </xf>
    <xf numFmtId="195" fontId="13" fillId="0" borderId="0" applyFill="0" applyBorder="0" applyAlignment="0">
      <protection/>
    </xf>
    <xf numFmtId="196" fontId="58" fillId="0" borderId="0" applyFill="0" applyBorder="0" applyAlignment="0">
      <protection/>
    </xf>
    <xf numFmtId="197" fontId="13" fillId="0" borderId="0" applyFill="0" applyBorder="0" applyAlignment="0">
      <protection/>
    </xf>
    <xf numFmtId="193" fontId="57" fillId="0" borderId="0" applyFill="0" applyBorder="0" applyAlignment="0">
      <protection/>
    </xf>
    <xf numFmtId="0" fontId="59" fillId="2" borderId="2" applyNumberFormat="0" applyAlignment="0" applyProtection="0"/>
    <xf numFmtId="0" fontId="60" fillId="0" borderId="0">
      <alignment/>
      <protection/>
    </xf>
    <xf numFmtId="198" fontId="28" fillId="0" borderId="0" applyFont="0" applyFill="0" applyBorder="0" applyAlignment="0" applyProtection="0"/>
    <xf numFmtId="0" fontId="61" fillId="21" borderId="3" applyNumberFormat="0" applyAlignment="0" applyProtection="0"/>
    <xf numFmtId="166" fontId="62" fillId="0" borderId="0" applyFont="0" applyFill="0" applyBorder="0" applyAlignment="0" applyProtection="0"/>
    <xf numFmtId="43" fontId="0" fillId="0" borderId="0" applyFont="0" applyFill="0" applyBorder="0" applyAlignment="0" applyProtection="0"/>
    <xf numFmtId="199" fontId="63" fillId="0" borderId="0">
      <alignment/>
      <protection/>
    </xf>
    <xf numFmtId="199" fontId="63" fillId="0" borderId="0">
      <alignment/>
      <protection/>
    </xf>
    <xf numFmtId="199" fontId="63" fillId="0" borderId="0">
      <alignment/>
      <protection/>
    </xf>
    <xf numFmtId="199" fontId="63" fillId="0" borderId="0">
      <alignment/>
      <protection/>
    </xf>
    <xf numFmtId="199" fontId="63" fillId="0" borderId="0">
      <alignment/>
      <protection/>
    </xf>
    <xf numFmtId="199" fontId="63" fillId="0" borderId="0">
      <alignment/>
      <protection/>
    </xf>
    <xf numFmtId="199" fontId="63" fillId="0" borderId="0">
      <alignment/>
      <protection/>
    </xf>
    <xf numFmtId="199" fontId="63" fillId="0" borderId="0">
      <alignment/>
      <protection/>
    </xf>
    <xf numFmtId="41" fontId="0" fillId="0" borderId="0" applyFont="0" applyFill="0" applyBorder="0" applyAlignment="0" applyProtection="0"/>
    <xf numFmtId="41" fontId="0" fillId="0" borderId="0" applyFont="0" applyFill="0" applyBorder="0" applyAlignment="0" applyProtection="0"/>
    <xf numFmtId="196" fontId="58" fillId="0" borderId="0" applyFont="0" applyFill="0" applyBorder="0" applyAlignment="0" applyProtection="0"/>
    <xf numFmtId="179" fontId="0" fillId="0" borderId="0" applyFont="0" applyFill="0" applyBorder="0" applyAlignment="0" applyProtection="0"/>
    <xf numFmtId="176" fontId="64" fillId="0" borderId="0" applyFill="0" applyBorder="0" applyAlignment="0" applyProtection="0"/>
    <xf numFmtId="43" fontId="0" fillId="0" borderId="0" applyFont="0" applyFill="0" applyBorder="0" applyAlignment="0" applyProtection="0"/>
    <xf numFmtId="200" fontId="9" fillId="0" borderId="0">
      <alignment/>
      <protection/>
    </xf>
    <xf numFmtId="3" fontId="18" fillId="0" borderId="0" applyFont="0" applyFill="0" applyBorder="0" applyAlignment="0" applyProtection="0"/>
    <xf numFmtId="0" fontId="65" fillId="0" borderId="0" applyNumberFormat="0" applyAlignment="0">
      <protection/>
    </xf>
    <xf numFmtId="201" fontId="64" fillId="0" borderId="0" applyFont="0" applyFill="0" applyBorder="0" applyAlignment="0" applyProtection="0"/>
    <xf numFmtId="202" fontId="31" fillId="0" borderId="0" applyFont="0" applyFill="0" applyBorder="0" applyAlignment="0" applyProtection="0"/>
    <xf numFmtId="182"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57" fillId="0" borderId="0" applyFont="0" applyFill="0" applyBorder="0" applyAlignment="0" applyProtection="0"/>
    <xf numFmtId="203" fontId="18" fillId="0" borderId="0" applyFont="0" applyFill="0" applyBorder="0" applyAlignment="0" applyProtection="0"/>
    <xf numFmtId="204" fontId="18" fillId="0" borderId="0">
      <alignment/>
      <protection/>
    </xf>
    <xf numFmtId="170" fontId="13" fillId="0" borderId="4">
      <alignment/>
      <protection/>
    </xf>
    <xf numFmtId="0" fontId="18" fillId="0" borderId="0" applyFont="0" applyFill="0" applyBorder="0" applyAlignment="0" applyProtection="0"/>
    <xf numFmtId="14" fontId="66" fillId="0" borderId="0" applyFill="0" applyBorder="0" applyAlignment="0">
      <protection/>
    </xf>
    <xf numFmtId="0" fontId="67" fillId="0" borderId="0">
      <alignment/>
      <protection/>
    </xf>
    <xf numFmtId="205" fontId="68" fillId="0" borderId="0" applyFont="0" applyFill="0" applyBorder="0" applyAlignment="0" applyProtection="0"/>
    <xf numFmtId="4" fontId="57" fillId="0" borderId="0" applyFont="0" applyFill="0" applyBorder="0" applyAlignment="0" applyProtection="0"/>
    <xf numFmtId="0" fontId="69" fillId="0" borderId="5" applyFill="0" applyBorder="0" applyAlignment="0">
      <protection/>
    </xf>
    <xf numFmtId="206" fontId="31" fillId="0" borderId="0" applyFont="0" applyFill="0" applyBorder="0" applyAlignment="0" applyProtection="0"/>
    <xf numFmtId="175" fontId="18" fillId="0" borderId="0" applyFont="0" applyFill="0" applyBorder="0" applyAlignment="0" applyProtection="0"/>
    <xf numFmtId="207" fontId="18" fillId="0" borderId="0">
      <alignment/>
      <protection/>
    </xf>
    <xf numFmtId="0" fontId="70" fillId="0" borderId="0">
      <alignment vertical="top" wrapText="1"/>
      <protection/>
    </xf>
    <xf numFmtId="179" fontId="71" fillId="0" borderId="0" applyFont="0" applyFill="0" applyBorder="0" applyAlignment="0" applyProtection="0"/>
    <xf numFmtId="182" fontId="71" fillId="0" borderId="0" applyFont="0" applyFill="0" applyBorder="0" applyAlignment="0" applyProtection="0"/>
    <xf numFmtId="179" fontId="71" fillId="0" borderId="0" applyFont="0" applyFill="0" applyBorder="0" applyAlignment="0" applyProtection="0"/>
    <xf numFmtId="41"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179"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41" fontId="71" fillId="0" borderId="0" applyFont="0" applyFill="0" applyBorder="0" applyAlignment="0" applyProtection="0"/>
    <xf numFmtId="182" fontId="71" fillId="0" borderId="0" applyFont="0" applyFill="0" applyBorder="0" applyAlignment="0" applyProtection="0"/>
    <xf numFmtId="43" fontId="71" fillId="0" borderId="0" applyFont="0" applyFill="0" applyBorder="0" applyAlignment="0" applyProtection="0"/>
    <xf numFmtId="182" fontId="71" fillId="0" borderId="0" applyFont="0" applyFill="0" applyBorder="0" applyAlignment="0" applyProtection="0"/>
    <xf numFmtId="18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82" fontId="71" fillId="0" borderId="0" applyFont="0" applyFill="0" applyBorder="0" applyAlignment="0" applyProtection="0"/>
    <xf numFmtId="182" fontId="71" fillId="0" borderId="0" applyFont="0" applyFill="0" applyBorder="0" applyAlignment="0" applyProtection="0"/>
    <xf numFmtId="18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5" fontId="71" fillId="0" borderId="0" applyFont="0" applyFill="0" applyBorder="0" applyAlignment="0" applyProtection="0"/>
    <xf numFmtId="165" fontId="71" fillId="0" borderId="0" applyFont="0" applyFill="0" applyBorder="0" applyAlignment="0" applyProtection="0"/>
    <xf numFmtId="43" fontId="71" fillId="0" borderId="0" applyFont="0" applyFill="0" applyBorder="0" applyAlignment="0" applyProtection="0"/>
    <xf numFmtId="3" fontId="13" fillId="0" borderId="0" applyFont="0" applyBorder="0" applyAlignment="0">
      <protection/>
    </xf>
    <xf numFmtId="196" fontId="58" fillId="0" borderId="0" applyFill="0" applyBorder="0" applyAlignment="0">
      <protection/>
    </xf>
    <xf numFmtId="193" fontId="57" fillId="0" borderId="0" applyFill="0" applyBorder="0" applyAlignment="0">
      <protection/>
    </xf>
    <xf numFmtId="196" fontId="58" fillId="0" borderId="0" applyFill="0" applyBorder="0" applyAlignment="0">
      <protection/>
    </xf>
    <xf numFmtId="197" fontId="13" fillId="0" borderId="0" applyFill="0" applyBorder="0" applyAlignment="0">
      <protection/>
    </xf>
    <xf numFmtId="193" fontId="57" fillId="0" borderId="0" applyFill="0" applyBorder="0" applyAlignment="0">
      <protection/>
    </xf>
    <xf numFmtId="0" fontId="72" fillId="0" borderId="0" applyNumberFormat="0" applyAlignment="0">
      <protection/>
    </xf>
    <xf numFmtId="208" fontId="18" fillId="0" borderId="0" applyFont="0" applyFill="0" applyBorder="0" applyAlignment="0" applyProtection="0"/>
    <xf numFmtId="0" fontId="73" fillId="0" borderId="0" applyNumberFormat="0" applyFill="0" applyBorder="0" applyAlignment="0" applyProtection="0"/>
    <xf numFmtId="3" fontId="13" fillId="0" borderId="0" applyFont="0" applyBorder="0" applyAlignment="0">
      <protection/>
    </xf>
    <xf numFmtId="2" fontId="18" fillId="0" borderId="0" applyFont="0" applyFill="0" applyBorder="0" applyAlignment="0" applyProtection="0"/>
    <xf numFmtId="0" fontId="12"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Protection="0">
      <alignment vertical="center"/>
    </xf>
    <xf numFmtId="0" fontId="76" fillId="0" borderId="0" applyNumberFormat="0" applyFill="0" applyBorder="0" applyAlignment="0" applyProtection="0"/>
    <xf numFmtId="0" fontId="77" fillId="0" borderId="0" applyNumberFormat="0" applyFill="0" applyBorder="0" applyProtection="0">
      <alignment vertical="center"/>
    </xf>
    <xf numFmtId="0" fontId="78" fillId="0" borderId="0" applyNumberFormat="0" applyFill="0" applyBorder="0" applyAlignment="0" applyProtection="0"/>
    <xf numFmtId="0" fontId="79" fillId="0" borderId="0" applyNumberFormat="0" applyFill="0" applyBorder="0" applyAlignment="0" applyProtection="0"/>
    <xf numFmtId="209" fontId="18" fillId="0" borderId="6" applyNumberFormat="0" applyFill="0" applyBorder="0" applyAlignment="0" applyProtection="0"/>
    <xf numFmtId="0" fontId="80" fillId="0" borderId="0" applyNumberFormat="0" applyFill="0" applyBorder="0" applyAlignment="0" applyProtection="0"/>
    <xf numFmtId="3" fontId="13" fillId="22" borderId="7">
      <alignment horizontal="right" vertical="top" wrapText="1"/>
      <protection/>
    </xf>
    <xf numFmtId="0" fontId="81" fillId="5" borderId="0" applyNumberFormat="0" applyBorder="0" applyAlignment="0" applyProtection="0"/>
    <xf numFmtId="38" fontId="82" fillId="2" borderId="0" applyNumberFormat="0" applyBorder="0" applyAlignment="0" applyProtection="0"/>
    <xf numFmtId="0" fontId="83" fillId="0" borderId="8" applyNumberFormat="0" applyFill="0" applyBorder="0" applyAlignment="0" applyProtection="0"/>
    <xf numFmtId="0" fontId="84" fillId="0" borderId="0" applyNumberFormat="0" applyFont="0" applyBorder="0" applyAlignment="0">
      <protection/>
    </xf>
    <xf numFmtId="0" fontId="85" fillId="23" borderId="0">
      <alignment/>
      <protection/>
    </xf>
    <xf numFmtId="0" fontId="86" fillId="0" borderId="0">
      <alignment horizontal="left"/>
      <protection/>
    </xf>
    <xf numFmtId="0" fontId="87" fillId="0" borderId="9" applyNumberFormat="0" applyAlignment="0" applyProtection="0"/>
    <xf numFmtId="0" fontId="87" fillId="0" borderId="10">
      <alignment horizontal="left" vertical="center"/>
      <protection/>
    </xf>
    <xf numFmtId="0" fontId="88" fillId="0" borderId="11" applyNumberFormat="0" applyFill="0" applyAlignment="0" applyProtection="0"/>
    <xf numFmtId="0" fontId="89" fillId="0" borderId="12" applyNumberFormat="0" applyFill="0" applyAlignment="0" applyProtection="0"/>
    <xf numFmtId="0" fontId="90" fillId="0" borderId="13" applyNumberFormat="0" applyFill="0" applyAlignment="0" applyProtection="0"/>
    <xf numFmtId="0" fontId="90" fillId="0" borderId="0" applyNumberFormat="0" applyFill="0" applyBorder="0" applyAlignment="0" applyProtection="0"/>
    <xf numFmtId="0" fontId="91" fillId="0" borderId="0" applyProtection="0">
      <alignment/>
    </xf>
    <xf numFmtId="0" fontId="87" fillId="0" borderId="0" applyProtection="0">
      <alignment/>
    </xf>
    <xf numFmtId="0" fontId="92" fillId="0" borderId="14">
      <alignment horizontal="center"/>
      <protection/>
    </xf>
    <xf numFmtId="0" fontId="92" fillId="0" borderId="0">
      <alignment horizontal="center"/>
      <protection/>
    </xf>
    <xf numFmtId="5" fontId="93" fillId="24" borderId="1" applyNumberFormat="0" applyAlignment="0">
      <protection/>
    </xf>
    <xf numFmtId="49" fontId="94" fillId="0" borderId="1">
      <alignment vertical="center"/>
      <protection/>
    </xf>
    <xf numFmtId="0" fontId="11" fillId="0" borderId="0" applyNumberFormat="0" applyFill="0" applyBorder="0" applyAlignment="0" applyProtection="0"/>
    <xf numFmtId="0" fontId="95" fillId="0" borderId="0">
      <alignment/>
      <protection/>
    </xf>
    <xf numFmtId="0" fontId="96" fillId="0" borderId="0" applyFont="0" applyFill="0" applyBorder="0" applyAlignment="0" applyProtection="0"/>
    <xf numFmtId="0" fontId="96" fillId="0" borderId="0" applyFont="0" applyFill="0" applyBorder="0" applyAlignment="0" applyProtection="0"/>
    <xf numFmtId="0" fontId="97" fillId="8" borderId="2" applyNumberFormat="0" applyAlignment="0" applyProtection="0"/>
    <xf numFmtId="10" fontId="82" fillId="25" borderId="1" applyNumberFormat="0" applyBorder="0" applyAlignment="0" applyProtection="0"/>
    <xf numFmtId="2" fontId="98" fillId="0" borderId="15" applyBorder="0">
      <alignment/>
      <protection/>
    </xf>
    <xf numFmtId="0" fontId="13" fillId="0" borderId="0">
      <alignment/>
      <protection/>
    </xf>
    <xf numFmtId="168" fontId="13" fillId="26" borderId="7">
      <alignment vertical="top" wrapText="1"/>
      <protection/>
    </xf>
    <xf numFmtId="0" fontId="29" fillId="0" borderId="0">
      <alignment/>
      <protection/>
    </xf>
    <xf numFmtId="196" fontId="58" fillId="0" borderId="0" applyFill="0" applyBorder="0" applyAlignment="0">
      <protection/>
    </xf>
    <xf numFmtId="193" fontId="57" fillId="0" borderId="0" applyFill="0" applyBorder="0" applyAlignment="0">
      <protection/>
    </xf>
    <xf numFmtId="196" fontId="58" fillId="0" borderId="0" applyFill="0" applyBorder="0" applyAlignment="0">
      <protection/>
    </xf>
    <xf numFmtId="197" fontId="13" fillId="0" borderId="0" applyFill="0" applyBorder="0" applyAlignment="0">
      <protection/>
    </xf>
    <xf numFmtId="193" fontId="57" fillId="0" borderId="0" applyFill="0" applyBorder="0" applyAlignment="0">
      <protection/>
    </xf>
    <xf numFmtId="0" fontId="99" fillId="0" borderId="16" applyNumberFormat="0" applyFill="0" applyAlignment="0" applyProtection="0"/>
    <xf numFmtId="170" fontId="100" fillId="0" borderId="17" applyNumberFormat="0" applyFont="0" applyFill="0" applyBorder="0">
      <alignment horizontal="center"/>
      <protection/>
    </xf>
    <xf numFmtId="38" fontId="29" fillId="0" borderId="0" applyFont="0" applyFill="0" applyBorder="0" applyAlignment="0" applyProtection="0"/>
    <xf numFmtId="40" fontId="29" fillId="0" borderId="0" applyFont="0" applyFill="0" applyBorder="0" applyAlignment="0" applyProtection="0"/>
    <xf numFmtId="179" fontId="18" fillId="0" borderId="0" applyFont="0" applyFill="0" applyBorder="0" applyAlignment="0" applyProtection="0"/>
    <xf numFmtId="182" fontId="18" fillId="0" borderId="0" applyFont="0" applyFill="0" applyBorder="0" applyAlignment="0" applyProtection="0"/>
    <xf numFmtId="0" fontId="101" fillId="0" borderId="14">
      <alignment/>
      <protection/>
    </xf>
    <xf numFmtId="210" fontId="102" fillId="0" borderId="17">
      <alignment/>
      <protection/>
    </xf>
    <xf numFmtId="211" fontId="29" fillId="0" borderId="0" applyFont="0" applyFill="0" applyBorder="0" applyAlignment="0" applyProtection="0"/>
    <xf numFmtId="212" fontId="29" fillId="0" borderId="0" applyFont="0" applyFill="0" applyBorder="0" applyAlignment="0" applyProtection="0"/>
    <xf numFmtId="213" fontId="18" fillId="0" borderId="0" applyFont="0" applyFill="0" applyBorder="0" applyAlignment="0" applyProtection="0"/>
    <xf numFmtId="214" fontId="18" fillId="0" borderId="0" applyFont="0" applyFill="0" applyBorder="0" applyAlignment="0" applyProtection="0"/>
    <xf numFmtId="0" fontId="58" fillId="0" borderId="0" applyNumberFormat="0" applyFont="0" applyFill="0" applyAlignment="0">
      <protection/>
    </xf>
    <xf numFmtId="0" fontId="103" fillId="27" borderId="0" applyNumberFormat="0" applyBorder="0" applyAlignment="0" applyProtection="0"/>
    <xf numFmtId="0" fontId="64" fillId="0" borderId="1">
      <alignment/>
      <protection/>
    </xf>
    <xf numFmtId="0" fontId="9" fillId="0" borderId="0">
      <alignment/>
      <protection/>
    </xf>
    <xf numFmtId="0" fontId="64" fillId="0" borderId="1">
      <alignment/>
      <protection/>
    </xf>
    <xf numFmtId="37" fontId="104" fillId="0" borderId="0">
      <alignment/>
      <protection/>
    </xf>
    <xf numFmtId="215" fontId="105" fillId="0" borderId="0">
      <alignment/>
      <protection/>
    </xf>
    <xf numFmtId="0" fontId="34" fillId="0" borderId="0">
      <alignment/>
      <protection/>
    </xf>
    <xf numFmtId="0" fontId="13" fillId="0" borderId="0" applyNumberFormat="0" applyFont="0" applyFill="0" applyBorder="0">
      <alignment vertical="top"/>
      <protection locked="0"/>
    </xf>
    <xf numFmtId="0" fontId="13" fillId="0" borderId="0">
      <alignment/>
      <protection/>
    </xf>
    <xf numFmtId="0" fontId="0" fillId="0" borderId="0">
      <alignment/>
      <protection/>
    </xf>
    <xf numFmtId="0" fontId="64"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18" fillId="0" borderId="0">
      <alignment/>
      <protection/>
    </xf>
    <xf numFmtId="0" fontId="0" fillId="0" borderId="0">
      <alignment/>
      <protection/>
    </xf>
    <xf numFmtId="0" fontId="2" fillId="0" borderId="0">
      <alignment/>
      <protection/>
    </xf>
    <xf numFmtId="0" fontId="13" fillId="0" borderId="0">
      <alignment/>
      <protection/>
    </xf>
    <xf numFmtId="0" fontId="71" fillId="0" borderId="0">
      <alignment/>
      <protection/>
    </xf>
    <xf numFmtId="0" fontId="43" fillId="25" borderId="18" applyNumberFormat="0" applyFont="0" applyAlignment="0" applyProtection="0"/>
    <xf numFmtId="182" fontId="36" fillId="0" borderId="0" applyFont="0" applyFill="0" applyBorder="0" applyAlignment="0" applyProtection="0"/>
    <xf numFmtId="179" fontId="36" fillId="0" borderId="0" applyFont="0" applyFill="0" applyBorder="0" applyAlignment="0" applyProtection="0"/>
    <xf numFmtId="0" fontId="106" fillId="0" borderId="0" applyNumberFormat="0" applyFill="0" applyBorder="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18" fillId="0" borderId="0" applyFont="0" applyFill="0" applyBorder="0" applyAlignment="0" applyProtection="0"/>
    <xf numFmtId="0" fontId="9" fillId="0" borderId="0">
      <alignment/>
      <protection/>
    </xf>
    <xf numFmtId="0" fontId="107" fillId="2" borderId="19" applyNumberFormat="0" applyAlignment="0" applyProtection="0"/>
    <xf numFmtId="14" fontId="49" fillId="0" borderId="0">
      <alignment horizontal="center" wrapText="1"/>
      <protection locked="0"/>
    </xf>
    <xf numFmtId="9" fontId="0" fillId="0" borderId="0" applyFont="0" applyFill="0" applyBorder="0" applyAlignment="0" applyProtection="0"/>
    <xf numFmtId="195" fontId="13" fillId="0" borderId="0" applyFont="0" applyFill="0" applyBorder="0" applyAlignment="0" applyProtection="0"/>
    <xf numFmtId="216" fontId="18" fillId="0" borderId="0" applyFont="0" applyFill="0" applyBorder="0" applyAlignment="0" applyProtection="0"/>
    <xf numFmtId="10" fontId="18" fillId="0" borderId="0" applyFont="0" applyFill="0" applyBorder="0" applyAlignment="0" applyProtection="0"/>
    <xf numFmtId="9" fontId="29" fillId="0" borderId="20" applyNumberFormat="0" applyBorder="0">
      <alignment/>
      <protection/>
    </xf>
    <xf numFmtId="196" fontId="58" fillId="0" borderId="0" applyFill="0" applyBorder="0" applyAlignment="0">
      <protection/>
    </xf>
    <xf numFmtId="193" fontId="57" fillId="0" borderId="0" applyFill="0" applyBorder="0" applyAlignment="0">
      <protection/>
    </xf>
    <xf numFmtId="196" fontId="58" fillId="0" borderId="0" applyFill="0" applyBorder="0" applyAlignment="0">
      <protection/>
    </xf>
    <xf numFmtId="197" fontId="13" fillId="0" borderId="0" applyFill="0" applyBorder="0" applyAlignment="0">
      <protection/>
    </xf>
    <xf numFmtId="193" fontId="57" fillId="0" borderId="0" applyFill="0" applyBorder="0" applyAlignment="0">
      <protection/>
    </xf>
    <xf numFmtId="0" fontId="108" fillId="0" borderId="0">
      <alignment/>
      <protection/>
    </xf>
    <xf numFmtId="0" fontId="29" fillId="0" borderId="0" applyNumberFormat="0" applyFont="0" applyFill="0" applyBorder="0" applyAlignment="0" applyProtection="0"/>
    <xf numFmtId="0" fontId="109" fillId="0" borderId="14">
      <alignment horizontal="center"/>
      <protection/>
    </xf>
    <xf numFmtId="0" fontId="110" fillId="28" borderId="0" applyNumberFormat="0" applyFont="0" applyBorder="0" applyAlignment="0">
      <protection/>
    </xf>
    <xf numFmtId="14" fontId="111" fillId="0" borderId="0" applyNumberFormat="0" applyFill="0" applyBorder="0" applyAlignment="0" applyProtection="0"/>
    <xf numFmtId="0" fontId="13" fillId="0" borderId="0" applyNumberFormat="0" applyFill="0" applyBorder="0" applyAlignment="0" applyProtection="0"/>
    <xf numFmtId="4" fontId="112" fillId="27" borderId="21" applyNumberFormat="0" applyProtection="0">
      <alignment vertical="center"/>
    </xf>
    <xf numFmtId="4" fontId="113" fillId="27" borderId="21" applyNumberFormat="0" applyProtection="0">
      <alignment vertical="center"/>
    </xf>
    <xf numFmtId="4" fontId="114" fillId="27" borderId="21" applyNumberFormat="0" applyProtection="0">
      <alignment horizontal="left" vertical="center" indent="1"/>
    </xf>
    <xf numFmtId="4" fontId="114" fillId="29" borderId="0" applyNumberFormat="0" applyProtection="0">
      <alignment horizontal="left" vertical="center" indent="1"/>
    </xf>
    <xf numFmtId="4" fontId="114" fillId="18" borderId="21" applyNumberFormat="0" applyProtection="0">
      <alignment horizontal="right" vertical="center"/>
    </xf>
    <xf numFmtId="4" fontId="114" fillId="4" borderId="21" applyNumberFormat="0" applyProtection="0">
      <alignment horizontal="right" vertical="center"/>
    </xf>
    <xf numFmtId="4" fontId="114" fillId="10" borderId="21" applyNumberFormat="0" applyProtection="0">
      <alignment horizontal="right" vertical="center"/>
    </xf>
    <xf numFmtId="4" fontId="114" fillId="5" borderId="21" applyNumberFormat="0" applyProtection="0">
      <alignment horizontal="right" vertical="center"/>
    </xf>
    <xf numFmtId="4" fontId="114" fillId="12" borderId="21" applyNumberFormat="0" applyProtection="0">
      <alignment horizontal="right" vertical="center"/>
    </xf>
    <xf numFmtId="4" fontId="114" fillId="8" borderId="21" applyNumberFormat="0" applyProtection="0">
      <alignment horizontal="right" vertical="center"/>
    </xf>
    <xf numFmtId="4" fontId="114" fillId="30" borderId="21" applyNumberFormat="0" applyProtection="0">
      <alignment horizontal="right" vertical="center"/>
    </xf>
    <xf numFmtId="4" fontId="114" fillId="19" borderId="21" applyNumberFormat="0" applyProtection="0">
      <alignment horizontal="right" vertical="center"/>
    </xf>
    <xf numFmtId="4" fontId="114" fillId="31" borderId="21" applyNumberFormat="0" applyProtection="0">
      <alignment horizontal="right" vertical="center"/>
    </xf>
    <xf numFmtId="4" fontId="112" fillId="32" borderId="22" applyNumberFormat="0" applyProtection="0">
      <alignment horizontal="left" vertical="center" indent="1"/>
    </xf>
    <xf numFmtId="4" fontId="112" fillId="9" borderId="0" applyNumberFormat="0" applyProtection="0">
      <alignment horizontal="left" vertical="center" indent="1"/>
    </xf>
    <xf numFmtId="4" fontId="112" fillId="29" borderId="0" applyNumberFormat="0" applyProtection="0">
      <alignment horizontal="left" vertical="center" indent="1"/>
    </xf>
    <xf numFmtId="4" fontId="114" fillId="9" borderId="21" applyNumberFormat="0" applyProtection="0">
      <alignment horizontal="right" vertical="center"/>
    </xf>
    <xf numFmtId="4" fontId="66" fillId="9" borderId="0" applyNumberFormat="0" applyProtection="0">
      <alignment horizontal="left" vertical="center" indent="1"/>
    </xf>
    <xf numFmtId="4" fontId="66" fillId="29" borderId="0" applyNumberFormat="0" applyProtection="0">
      <alignment horizontal="left" vertical="center" indent="1"/>
    </xf>
    <xf numFmtId="4" fontId="114" fillId="33" borderId="21" applyNumberFormat="0" applyProtection="0">
      <alignment vertical="center"/>
    </xf>
    <xf numFmtId="4" fontId="115" fillId="33" borderId="21" applyNumberFormat="0" applyProtection="0">
      <alignment vertical="center"/>
    </xf>
    <xf numFmtId="4" fontId="112" fillId="9" borderId="23" applyNumberFormat="0" applyProtection="0">
      <alignment horizontal="left" vertical="center" indent="1"/>
    </xf>
    <xf numFmtId="4" fontId="114" fillId="33" borderId="21" applyNumberFormat="0" applyProtection="0">
      <alignment horizontal="right" vertical="center"/>
    </xf>
    <xf numFmtId="4" fontId="115" fillId="33" borderId="21" applyNumberFormat="0" applyProtection="0">
      <alignment horizontal="right" vertical="center"/>
    </xf>
    <xf numFmtId="4" fontId="112" fillId="9" borderId="21" applyNumberFormat="0" applyProtection="0">
      <alignment horizontal="left" vertical="center" indent="1"/>
    </xf>
    <xf numFmtId="4" fontId="116" fillId="24" borderId="23" applyNumberFormat="0" applyProtection="0">
      <alignment horizontal="left" vertical="center" indent="1"/>
    </xf>
    <xf numFmtId="4" fontId="117" fillId="33" borderId="21" applyNumberFormat="0" applyProtection="0">
      <alignment horizontal="right" vertical="center"/>
    </xf>
    <xf numFmtId="0" fontId="2" fillId="0" borderId="0">
      <alignment vertical="center"/>
      <protection/>
    </xf>
    <xf numFmtId="217" fontId="33" fillId="0" borderId="0" applyFont="0" applyFill="0" applyBorder="0" applyAlignment="0" applyProtection="0"/>
    <xf numFmtId="0" fontId="110" fillId="1" borderId="10" applyNumberFormat="0" applyFont="0" applyAlignment="0">
      <protection/>
    </xf>
    <xf numFmtId="0" fontId="118" fillId="0" borderId="0" applyNumberFormat="0" applyFill="0" applyBorder="0" applyAlignment="0">
      <protection/>
    </xf>
    <xf numFmtId="0" fontId="18" fillId="0" borderId="0">
      <alignment/>
      <protection/>
    </xf>
    <xf numFmtId="166" fontId="119" fillId="0" borderId="0" applyNumberFormat="0" applyBorder="0" applyAlignment="0">
      <protection/>
    </xf>
    <xf numFmtId="0" fontId="57" fillId="0" borderId="0">
      <alignment/>
      <protection/>
    </xf>
    <xf numFmtId="2" fontId="18" fillId="0" borderId="0" applyFont="0" applyFill="0" applyBorder="0" applyAlignment="0" applyProtection="0"/>
    <xf numFmtId="0" fontId="87" fillId="0" borderId="10">
      <alignment horizontal="left" vertical="center"/>
      <protection/>
    </xf>
    <xf numFmtId="0" fontId="87" fillId="0" borderId="9" applyNumberFormat="0" applyAlignment="0" applyProtection="0"/>
    <xf numFmtId="0" fontId="87" fillId="0" borderId="0" applyNumberFormat="0" applyFill="0" applyBorder="0" applyAlignment="0" applyProtection="0"/>
    <xf numFmtId="0" fontId="91" fillId="0" borderId="0" applyNumberFormat="0" applyFill="0" applyBorder="0" applyAlignment="0" applyProtection="0"/>
    <xf numFmtId="166" fontId="62" fillId="0" borderId="0" applyFont="0" applyFill="0" applyBorder="0" applyAlignment="0" applyProtection="0"/>
    <xf numFmtId="0" fontId="39" fillId="0" borderId="0">
      <alignment/>
      <protection/>
    </xf>
    <xf numFmtId="0" fontId="120" fillId="0" borderId="0">
      <alignment/>
      <protection/>
    </xf>
    <xf numFmtId="0" fontId="64" fillId="0" borderId="0">
      <alignment/>
      <protection/>
    </xf>
    <xf numFmtId="0" fontId="64" fillId="0" borderId="0">
      <alignment/>
      <protection/>
    </xf>
    <xf numFmtId="0" fontId="58" fillId="0" borderId="0" applyNumberFormat="0" applyFont="0" applyFill="0" applyAlignment="0">
      <protection/>
    </xf>
    <xf numFmtId="184" fontId="28" fillId="0" borderId="0" applyFont="0" applyFill="0" applyBorder="0" applyAlignment="0" applyProtection="0"/>
    <xf numFmtId="42" fontId="28" fillId="0" borderId="0" applyFont="0" applyFill="0" applyBorder="0" applyAlignment="0" applyProtection="0"/>
    <xf numFmtId="0" fontId="18" fillId="0" borderId="24" applyNumberFormat="0" applyFont="0" applyFill="0" applyAlignment="0" applyProtection="0"/>
    <xf numFmtId="218" fontId="64" fillId="0" borderId="0" applyFont="0" applyFill="0" applyBorder="0" applyAlignment="0" applyProtection="0"/>
    <xf numFmtId="0" fontId="58" fillId="0" borderId="0" applyNumberFormat="0" applyFont="0" applyFill="0" applyAlignment="0">
      <protection/>
    </xf>
    <xf numFmtId="184" fontId="28" fillId="0" borderId="0" applyFont="0" applyFill="0" applyBorder="0" applyAlignment="0" applyProtection="0"/>
    <xf numFmtId="3" fontId="18" fillId="0" borderId="0" applyFont="0" applyFill="0" applyBorder="0" applyAlignment="0" applyProtection="0"/>
    <xf numFmtId="203" fontId="18" fillId="0" borderId="0" applyFont="0" applyFill="0" applyBorder="0" applyAlignment="0" applyProtection="0"/>
    <xf numFmtId="219" fontId="27" fillId="0" borderId="0" applyFont="0" applyFill="0" applyBorder="0" applyAlignment="0" applyProtection="0"/>
    <xf numFmtId="220" fontId="27" fillId="0" borderId="0" applyFont="0" applyFill="0" applyBorder="0" applyAlignment="0" applyProtection="0"/>
    <xf numFmtId="0" fontId="18" fillId="0" borderId="0" applyFont="0" applyFill="0" applyBorder="0" applyAlignment="0" applyProtection="0"/>
    <xf numFmtId="0" fontId="121" fillId="0" borderId="0">
      <alignment/>
      <protection/>
    </xf>
    <xf numFmtId="0" fontId="101" fillId="0" borderId="0">
      <alignment/>
      <protection/>
    </xf>
    <xf numFmtId="40" fontId="122" fillId="0" borderId="0" applyBorder="0">
      <alignment horizontal="right"/>
      <protection/>
    </xf>
    <xf numFmtId="221" fontId="64" fillId="0" borderId="15">
      <alignment horizontal="right" vertical="center"/>
      <protection/>
    </xf>
    <xf numFmtId="222" fontId="123" fillId="0" borderId="15">
      <alignment horizontal="right" vertical="center"/>
      <protection/>
    </xf>
    <xf numFmtId="223" fontId="13" fillId="0" borderId="15">
      <alignment horizontal="right" vertical="center"/>
      <protection/>
    </xf>
    <xf numFmtId="222" fontId="123" fillId="0" borderId="15">
      <alignment horizontal="right" vertical="center"/>
      <protection/>
    </xf>
    <xf numFmtId="224" fontId="62" fillId="0" borderId="15">
      <alignment horizontal="right" vertical="center"/>
      <protection/>
    </xf>
    <xf numFmtId="221" fontId="64" fillId="0" borderId="15">
      <alignment horizontal="right" vertical="center"/>
      <protection/>
    </xf>
    <xf numFmtId="222" fontId="123" fillId="0" borderId="15">
      <alignment horizontal="right" vertical="center"/>
      <protection/>
    </xf>
    <xf numFmtId="223" fontId="13" fillId="0" borderId="15">
      <alignment horizontal="right" vertical="center"/>
      <protection/>
    </xf>
    <xf numFmtId="223" fontId="13" fillId="0" borderId="15">
      <alignment horizontal="right" vertical="center"/>
      <protection/>
    </xf>
    <xf numFmtId="221" fontId="64" fillId="0" borderId="15">
      <alignment horizontal="right" vertical="center"/>
      <protection/>
    </xf>
    <xf numFmtId="222" fontId="123" fillId="0" borderId="15">
      <alignment horizontal="right" vertical="center"/>
      <protection/>
    </xf>
    <xf numFmtId="221" fontId="64" fillId="0" borderId="15">
      <alignment horizontal="right" vertical="center"/>
      <protection/>
    </xf>
    <xf numFmtId="225" fontId="28" fillId="0" borderId="15">
      <alignment horizontal="right" vertical="center"/>
      <protection/>
    </xf>
    <xf numFmtId="226" fontId="123" fillId="0" borderId="15">
      <alignment horizontal="right" vertical="center"/>
      <protection/>
    </xf>
    <xf numFmtId="221" fontId="64" fillId="0" borderId="15">
      <alignment horizontal="right" vertical="center"/>
      <protection/>
    </xf>
    <xf numFmtId="49" fontId="66" fillId="0" borderId="0" applyFill="0" applyBorder="0" applyAlignment="0">
      <protection/>
    </xf>
    <xf numFmtId="227" fontId="18" fillId="0" borderId="0" applyFill="0" applyBorder="0" applyAlignment="0">
      <protection/>
    </xf>
    <xf numFmtId="228" fontId="18" fillId="0" borderId="0" applyFill="0" applyBorder="0" applyAlignment="0">
      <protection/>
    </xf>
    <xf numFmtId="229" fontId="64" fillId="0" borderId="15">
      <alignment horizontal="center"/>
      <protection/>
    </xf>
    <xf numFmtId="0" fontId="13" fillId="0" borderId="25">
      <alignment/>
      <protection/>
    </xf>
    <xf numFmtId="0" fontId="64" fillId="0" borderId="0" applyNumberFormat="0" applyFill="0" applyBorder="0" applyAlignment="0" applyProtection="0"/>
    <xf numFmtId="0" fontId="18" fillId="0" borderId="0" applyNumberFormat="0" applyFill="0" applyBorder="0" applyAlignment="0" applyProtection="0"/>
    <xf numFmtId="0" fontId="106" fillId="0" borderId="0" applyNumberFormat="0" applyFill="0" applyBorder="0" applyAlignment="0" applyProtection="0"/>
    <xf numFmtId="0" fontId="62" fillId="0" borderId="5" applyNumberFormat="0" applyBorder="0" applyAlignment="0">
      <protection/>
    </xf>
    <xf numFmtId="0" fontId="124" fillId="0" borderId="17" applyNumberFormat="0" applyBorder="0" applyAlignment="0">
      <protection/>
    </xf>
    <xf numFmtId="3" fontId="125" fillId="0" borderId="8" applyNumberFormat="0" applyBorder="0" applyAlignment="0">
      <protection/>
    </xf>
    <xf numFmtId="3" fontId="126" fillId="0" borderId="0" applyNumberFormat="0" applyFill="0" applyBorder="0" applyAlignment="0" applyProtection="0"/>
    <xf numFmtId="0" fontId="127" fillId="0" borderId="26" applyBorder="0" applyAlignment="0">
      <protection/>
    </xf>
    <xf numFmtId="0" fontId="128" fillId="0" borderId="0" applyNumberFormat="0" applyFill="0" applyBorder="0" applyAlignment="0" applyProtection="0"/>
    <xf numFmtId="0" fontId="83" fillId="0" borderId="27"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131" fillId="0" borderId="0" applyNumberFormat="0" applyFill="0" applyBorder="0" applyAlignment="0" applyProtection="0"/>
    <xf numFmtId="0" fontId="132" fillId="0" borderId="28" applyNumberFormat="0" applyBorder="0" applyAlignment="0">
      <protection/>
    </xf>
    <xf numFmtId="0" fontId="133" fillId="0" borderId="29" applyNumberFormat="0" applyFill="0" applyAlignment="0" applyProtection="0"/>
    <xf numFmtId="0" fontId="13" fillId="0" borderId="0" applyNumberFormat="0" applyFill="0" applyBorder="0" applyAlignment="0" applyProtection="0"/>
    <xf numFmtId="0" fontId="102" fillId="0" borderId="30" applyNumberFormat="0" applyAlignment="0">
      <protection/>
    </xf>
    <xf numFmtId="228" fontId="64" fillId="0" borderId="0">
      <alignment/>
      <protection/>
    </xf>
    <xf numFmtId="230" fontId="64" fillId="0" borderId="1">
      <alignment/>
      <protection/>
    </xf>
    <xf numFmtId="0" fontId="64" fillId="0" borderId="5">
      <alignment horizontal="left" vertical="center" wrapText="1" indent="1"/>
      <protection/>
    </xf>
    <xf numFmtId="3" fontId="13" fillId="18" borderId="7">
      <alignment horizontal="right" vertical="top" wrapText="1"/>
      <protection/>
    </xf>
    <xf numFmtId="3" fontId="64" fillId="0" borderId="0" applyNumberFormat="0" applyBorder="0" applyAlignment="0" applyProtection="0"/>
    <xf numFmtId="3" fontId="37" fillId="0" borderId="0">
      <alignment/>
      <protection locked="0"/>
    </xf>
    <xf numFmtId="0" fontId="134" fillId="0" borderId="31" applyFill="0" applyBorder="0" applyAlignment="0">
      <protection/>
    </xf>
    <xf numFmtId="5" fontId="135" fillId="34" borderId="26">
      <alignment vertical="top"/>
      <protection/>
    </xf>
    <xf numFmtId="0" fontId="14" fillId="35" borderId="1">
      <alignment horizontal="left" vertical="center"/>
      <protection/>
    </xf>
    <xf numFmtId="6" fontId="136" fillId="36" borderId="26">
      <alignment/>
      <protection/>
    </xf>
    <xf numFmtId="5" fontId="137" fillId="0" borderId="26">
      <alignment horizontal="left" vertical="top"/>
      <protection/>
    </xf>
    <xf numFmtId="0" fontId="138" fillId="37" borderId="0">
      <alignment horizontal="left" vertical="center"/>
      <protection/>
    </xf>
    <xf numFmtId="231" fontId="27" fillId="0" borderId="32">
      <alignment horizontal="left" vertical="top"/>
      <protection/>
    </xf>
    <xf numFmtId="0" fontId="139" fillId="0" borderId="32">
      <alignment horizontal="left" vertical="center"/>
      <protection/>
    </xf>
    <xf numFmtId="0" fontId="9" fillId="0" borderId="0">
      <alignment/>
      <protection/>
    </xf>
    <xf numFmtId="232" fontId="68" fillId="0" borderId="0" applyFont="0" applyFill="0" applyBorder="0" applyAlignment="0" applyProtection="0"/>
    <xf numFmtId="233" fontId="57" fillId="0" borderId="0" applyFont="0" applyFill="0" applyBorder="0" applyAlignment="0" applyProtection="0"/>
    <xf numFmtId="42" fontId="71" fillId="0" borderId="0" applyFont="0" applyFill="0" applyBorder="0" applyAlignment="0" applyProtection="0"/>
    <xf numFmtId="44" fontId="71" fillId="0" borderId="0" applyFont="0" applyFill="0" applyBorder="0" applyAlignment="0" applyProtection="0"/>
    <xf numFmtId="0" fontId="140" fillId="0" borderId="0" applyNumberFormat="0" applyFill="0" applyBorder="0" applyAlignment="0" applyProtection="0"/>
    <xf numFmtId="0" fontId="141" fillId="0" borderId="33" applyNumberFormat="0" applyFont="0" applyAlignment="0">
      <protection/>
    </xf>
    <xf numFmtId="0" fontId="142" fillId="0" borderId="0" applyNumberForma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9" fontId="34" fillId="0" borderId="0" applyFont="0" applyFill="0" applyBorder="0" applyAlignment="0" applyProtection="0"/>
    <xf numFmtId="0" fontId="143" fillId="0" borderId="0">
      <alignment/>
      <protection/>
    </xf>
    <xf numFmtId="0" fontId="144" fillId="0" borderId="34">
      <alignment/>
      <protection/>
    </xf>
    <xf numFmtId="0" fontId="58" fillId="0" borderId="0">
      <alignment/>
      <protection/>
    </xf>
    <xf numFmtId="179" fontId="32" fillId="0" borderId="0" applyFont="0" applyFill="0" applyBorder="0" applyAlignment="0" applyProtection="0"/>
    <xf numFmtId="182" fontId="32" fillId="0" borderId="0" applyFont="0" applyFill="0" applyBorder="0" applyAlignment="0" applyProtection="0"/>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34" fillId="0" borderId="0" applyFont="0" applyFill="0" applyBorder="0" applyAlignment="0" applyProtection="0"/>
    <xf numFmtId="0" fontId="34" fillId="0" borderId="0" applyFont="0" applyFill="0" applyBorder="0" applyAlignment="0" applyProtection="0"/>
    <xf numFmtId="234" fontId="34" fillId="0" borderId="0" applyFont="0" applyFill="0" applyBorder="0" applyAlignment="0" applyProtection="0"/>
    <xf numFmtId="189" fontId="34" fillId="0" borderId="0" applyFont="0" applyFill="0" applyBorder="0" applyAlignment="0" applyProtection="0"/>
    <xf numFmtId="0" fontId="145" fillId="0" borderId="0">
      <alignment/>
      <protection/>
    </xf>
    <xf numFmtId="182" fontId="18" fillId="0" borderId="0" applyFont="0" applyFill="0" applyBorder="0" applyAlignment="0" applyProtection="0"/>
    <xf numFmtId="179" fontId="18" fillId="0" borderId="0" applyFont="0" applyFill="0" applyBorder="0" applyAlignment="0" applyProtection="0"/>
    <xf numFmtId="0" fontId="146" fillId="0" borderId="0">
      <alignment/>
      <protection/>
    </xf>
    <xf numFmtId="174" fontId="32" fillId="0" borderId="0" applyFont="0" applyFill="0" applyBorder="0" applyAlignment="0" applyProtection="0"/>
    <xf numFmtId="6" fontId="24" fillId="0" borderId="0" applyFont="0" applyFill="0" applyBorder="0" applyAlignment="0" applyProtection="0"/>
    <xf numFmtId="187" fontId="32"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2" fillId="0" borderId="0">
      <alignment vertical="center"/>
      <protection/>
    </xf>
  </cellStyleXfs>
  <cellXfs count="681">
    <xf numFmtId="0" fontId="0" fillId="0" borderId="0" xfId="0"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horizontal="justify"/>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14" fillId="0" borderId="0" xfId="0" applyFont="1" applyAlignment="1">
      <alignment/>
    </xf>
    <xf numFmtId="0" fontId="13" fillId="0" borderId="0" xfId="0" applyFont="1" applyAlignment="1">
      <alignment/>
    </xf>
    <xf numFmtId="0" fontId="0" fillId="0" borderId="0" xfId="0" applyAlignment="1">
      <alignment horizontal="justify"/>
    </xf>
    <xf numFmtId="0" fontId="0" fillId="0" borderId="0" xfId="0" applyAlignment="1">
      <alignment vertical="center" wrapText="1"/>
    </xf>
    <xf numFmtId="0" fontId="8" fillId="0" borderId="0" xfId="0" applyFont="1" applyAlignment="1">
      <alignment/>
    </xf>
    <xf numFmtId="0" fontId="0" fillId="0" borderId="0" xfId="0" applyFont="1" applyAlignment="1">
      <alignment/>
    </xf>
    <xf numFmtId="167" fontId="0" fillId="0" borderId="0" xfId="614" applyNumberFormat="1" applyFont="1" applyAlignment="1">
      <alignment/>
    </xf>
    <xf numFmtId="0" fontId="5" fillId="0" borderId="0" xfId="0" applyFont="1" applyAlignment="1">
      <alignment/>
    </xf>
    <xf numFmtId="0" fontId="0" fillId="38" borderId="0" xfId="0" applyFont="1" applyFill="1" applyAlignment="1">
      <alignment/>
    </xf>
    <xf numFmtId="0" fontId="4" fillId="0" borderId="0" xfId="766" applyFont="1" applyFill="1" applyAlignment="1">
      <alignment vertical="center"/>
      <protection/>
    </xf>
    <xf numFmtId="0" fontId="2" fillId="0" borderId="0" xfId="766" applyFont="1" applyFill="1" applyAlignment="1">
      <alignment vertical="center"/>
      <protection/>
    </xf>
    <xf numFmtId="0" fontId="2" fillId="0" borderId="0" xfId="0" applyFont="1" applyAlignment="1">
      <alignment vertical="center" wrapText="1"/>
    </xf>
    <xf numFmtId="0" fontId="9" fillId="0" borderId="0" xfId="0" applyFont="1" applyAlignment="1">
      <alignment/>
    </xf>
    <xf numFmtId="0" fontId="0" fillId="0" borderId="0" xfId="0" applyAlignment="1">
      <alignment horizontal="center" vertical="center" wrapText="1"/>
    </xf>
    <xf numFmtId="0" fontId="0" fillId="0" borderId="0" xfId="0" applyAlignment="1">
      <alignment horizontal="justify" vertical="center" wrapText="1"/>
    </xf>
    <xf numFmtId="0" fontId="0" fillId="0" borderId="0" xfId="0" applyFont="1" applyAlignment="1">
      <alignment vertical="center" wrapText="1"/>
    </xf>
    <xf numFmtId="0" fontId="0" fillId="0" borderId="0" xfId="0" applyFont="1" applyFill="1" applyAlignment="1">
      <alignment/>
    </xf>
    <xf numFmtId="0" fontId="0" fillId="0" borderId="0" xfId="0" applyFont="1" applyFill="1" applyAlignment="1">
      <alignment horizontal="justify"/>
    </xf>
    <xf numFmtId="167" fontId="0" fillId="0" borderId="0" xfId="614" applyNumberFormat="1" applyFont="1" applyFill="1" applyAlignment="1">
      <alignment horizontal="justify"/>
    </xf>
    <xf numFmtId="0" fontId="0" fillId="0" borderId="0" xfId="0" applyFill="1" applyAlignment="1">
      <alignment vertical="center" wrapText="1"/>
    </xf>
    <xf numFmtId="0" fontId="6"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41" fontId="4" fillId="0" borderId="0" xfId="0" applyNumberFormat="1" applyFont="1" applyFill="1" applyAlignment="1">
      <alignment horizontal="center" vertical="center" wrapText="1"/>
    </xf>
    <xf numFmtId="166" fontId="4" fillId="0" borderId="0" xfId="0" applyNumberFormat="1" applyFont="1" applyFill="1" applyAlignment="1">
      <alignment horizontal="center" vertical="center" wrapText="1"/>
    </xf>
    <xf numFmtId="0" fontId="0" fillId="0" borderId="0" xfId="0" applyFont="1" applyFill="1" applyAlignment="1">
      <alignment vertical="center" wrapText="1"/>
    </xf>
    <xf numFmtId="0" fontId="6" fillId="0" borderId="0" xfId="0" applyFont="1" applyFill="1" applyAlignment="1">
      <alignment horizontal="center" vertical="center" wrapText="1"/>
    </xf>
    <xf numFmtId="41" fontId="6" fillId="0" borderId="0" xfId="0" applyNumberFormat="1" applyFont="1" applyFill="1" applyAlignment="1">
      <alignment horizontal="center" vertical="center" wrapText="1"/>
    </xf>
    <xf numFmtId="166" fontId="6" fillId="0" borderId="0" xfId="0" applyNumberFormat="1" applyFont="1" applyFill="1" applyAlignment="1">
      <alignment horizontal="center" vertical="center" wrapText="1"/>
    </xf>
    <xf numFmtId="166" fontId="6" fillId="0" borderId="0" xfId="614" applyNumberFormat="1" applyFont="1" applyFill="1" applyAlignment="1">
      <alignment horizontal="justify" vertical="center" wrapText="1"/>
    </xf>
    <xf numFmtId="166" fontId="0" fillId="0" borderId="0" xfId="614" applyNumberFormat="1" applyFont="1" applyFill="1" applyAlignment="1">
      <alignment vertical="center" wrapText="1"/>
    </xf>
    <xf numFmtId="167" fontId="148" fillId="0" borderId="0" xfId="0" applyNumberFormat="1" applyFont="1" applyFill="1" applyAlignment="1">
      <alignment horizontal="center" vertical="center" wrapText="1"/>
    </xf>
    <xf numFmtId="41" fontId="0" fillId="0" borderId="0" xfId="0" applyNumberFormat="1" applyFont="1" applyAlignment="1">
      <alignment horizontal="justify"/>
    </xf>
    <xf numFmtId="0" fontId="0" fillId="0" borderId="0" xfId="0" applyFont="1" applyAlignment="1">
      <alignment horizontal="justify" vertical="center" wrapText="1"/>
    </xf>
    <xf numFmtId="0" fontId="2" fillId="0" borderId="0" xfId="0" applyFont="1" applyFill="1" applyAlignment="1">
      <alignment/>
    </xf>
    <xf numFmtId="166" fontId="0" fillId="0" borderId="0" xfId="628" applyNumberFormat="1" applyFont="1" applyAlignment="1">
      <alignment/>
    </xf>
    <xf numFmtId="41" fontId="2" fillId="0" borderId="0" xfId="0" applyNumberFormat="1" applyFont="1" applyFill="1" applyAlignment="1">
      <alignment/>
    </xf>
    <xf numFmtId="167" fontId="9" fillId="0" borderId="0" xfId="614" applyNumberFormat="1" applyFont="1" applyFill="1" applyAlignment="1">
      <alignment/>
    </xf>
    <xf numFmtId="0" fontId="4" fillId="0" borderId="0" xfId="0" applyFont="1" applyFill="1" applyAlignment="1">
      <alignment/>
    </xf>
    <xf numFmtId="167" fontId="2" fillId="0" borderId="0" xfId="614" applyNumberFormat="1" applyFont="1" applyFill="1" applyAlignment="1">
      <alignment/>
    </xf>
    <xf numFmtId="0" fontId="0" fillId="0" borderId="0" xfId="0" applyFont="1" applyAlignment="1">
      <alignment vertical="center" wrapText="1"/>
    </xf>
    <xf numFmtId="0" fontId="13" fillId="0" borderId="0" xfId="0" applyFont="1" applyAlignment="1">
      <alignment vertical="center" wrapText="1"/>
    </xf>
    <xf numFmtId="167" fontId="0" fillId="0" borderId="0" xfId="614" applyNumberFormat="1" applyFont="1" applyAlignment="1">
      <alignment vertical="center" wrapText="1"/>
    </xf>
    <xf numFmtId="0" fontId="14" fillId="0" borderId="0" xfId="0" applyFont="1" applyAlignment="1">
      <alignment vertical="center" wrapText="1"/>
    </xf>
    <xf numFmtId="0" fontId="8" fillId="0" borderId="0" xfId="0" applyNumberFormat="1" applyFont="1" applyFill="1" applyAlignment="1">
      <alignment horizontal="center" vertical="center" wrapText="1"/>
    </xf>
    <xf numFmtId="0" fontId="150" fillId="0" borderId="0" xfId="0" applyFont="1" applyAlignment="1">
      <alignment/>
    </xf>
    <xf numFmtId="0" fontId="6" fillId="0" borderId="0" xfId="0" applyNumberFormat="1" applyFont="1" applyAlignment="1">
      <alignment horizontal="center" vertical="center" wrapText="1"/>
    </xf>
    <xf numFmtId="166" fontId="6" fillId="0" borderId="0" xfId="0" applyNumberFormat="1" applyFont="1" applyAlignment="1">
      <alignment horizontal="center" vertical="center" wrapText="1"/>
    </xf>
    <xf numFmtId="167" fontId="0" fillId="0" borderId="0" xfId="628" applyNumberFormat="1" applyFont="1" applyAlignment="1">
      <alignment/>
    </xf>
    <xf numFmtId="166" fontId="4" fillId="0" borderId="0" xfId="628" applyNumberFormat="1" applyFont="1" applyFill="1" applyAlignment="1">
      <alignment horizontal="center" vertical="center" wrapText="1"/>
    </xf>
    <xf numFmtId="166" fontId="1" fillId="0" borderId="0" xfId="628" applyNumberFormat="1" applyFont="1" applyAlignment="1">
      <alignment horizontal="right"/>
    </xf>
    <xf numFmtId="0" fontId="0" fillId="0" borderId="0" xfId="0" applyFont="1" applyAlignment="1">
      <alignment horizontal="center"/>
    </xf>
    <xf numFmtId="0" fontId="6" fillId="0" borderId="0" xfId="0" applyFont="1" applyAlignment="1">
      <alignment horizontal="center" vertical="center" wrapText="1"/>
    </xf>
    <xf numFmtId="41" fontId="6" fillId="0" borderId="0" xfId="0" applyNumberFormat="1" applyFont="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xf>
    <xf numFmtId="166" fontId="2" fillId="0" borderId="0" xfId="0" applyNumberFormat="1" applyFont="1" applyFill="1" applyAlignment="1">
      <alignment/>
    </xf>
    <xf numFmtId="0" fontId="0" fillId="0" borderId="0" xfId="0" applyFont="1" applyFill="1" applyAlignment="1">
      <alignment/>
    </xf>
    <xf numFmtId="0" fontId="15" fillId="0" borderId="0" xfId="0" applyFont="1" applyFill="1" applyAlignment="1">
      <alignment vertical="center"/>
    </xf>
    <xf numFmtId="0" fontId="10"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8" fillId="0" borderId="0" xfId="0" applyFont="1" applyFill="1" applyAlignment="1">
      <alignment vertical="center"/>
    </xf>
    <xf numFmtId="166" fontId="10" fillId="0" borderId="0" xfId="0" applyNumberFormat="1" applyFont="1" applyFill="1" applyAlignment="1">
      <alignment vertical="center"/>
    </xf>
    <xf numFmtId="0" fontId="151" fillId="0" borderId="0" xfId="0" applyFont="1" applyAlignment="1">
      <alignment vertical="center" wrapText="1"/>
    </xf>
    <xf numFmtId="166" fontId="3" fillId="0" borderId="0" xfId="614" applyNumberFormat="1" applyFont="1" applyFill="1" applyAlignment="1">
      <alignment vertical="center"/>
    </xf>
    <xf numFmtId="0" fontId="152" fillId="0" borderId="0" xfId="0" applyFont="1" applyFill="1" applyAlignment="1">
      <alignment vertical="center" wrapText="1"/>
    </xf>
    <xf numFmtId="235" fontId="0" fillId="0" borderId="0" xfId="0" applyNumberFormat="1" applyAlignment="1">
      <alignment/>
    </xf>
    <xf numFmtId="0" fontId="2" fillId="0" borderId="0" xfId="767" applyFont="1" applyFill="1">
      <alignment/>
      <protection/>
    </xf>
    <xf numFmtId="0" fontId="6" fillId="0" borderId="0" xfId="767" applyFont="1" applyFill="1" applyAlignment="1">
      <alignment horizontal="center"/>
      <protection/>
    </xf>
    <xf numFmtId="0" fontId="6" fillId="0" borderId="0" xfId="767" applyFont="1" applyFill="1" applyAlignment="1">
      <alignment horizontal="justify"/>
      <protection/>
    </xf>
    <xf numFmtId="0" fontId="4" fillId="0" borderId="0" xfId="767" applyFont="1" applyFill="1">
      <alignment/>
      <protection/>
    </xf>
    <xf numFmtId="0" fontId="2" fillId="0" borderId="0" xfId="767" applyFont="1" applyFill="1" applyAlignment="1">
      <alignment horizontal="justify"/>
      <protection/>
    </xf>
    <xf numFmtId="0" fontId="155" fillId="0" borderId="0" xfId="0" applyNumberFormat="1" applyFont="1" applyFill="1" applyAlignment="1">
      <alignment horizontal="center" vertical="center" wrapText="1"/>
    </xf>
    <xf numFmtId="0" fontId="2" fillId="0" borderId="0" xfId="764">
      <alignment/>
      <protection/>
    </xf>
    <xf numFmtId="0" fontId="6" fillId="0" borderId="0" xfId="764" applyFont="1" applyAlignment="1">
      <alignment/>
      <protection/>
    </xf>
    <xf numFmtId="0" fontId="2" fillId="0" borderId="0" xfId="764" applyAlignment="1">
      <alignment horizontal="justify"/>
      <protection/>
    </xf>
    <xf numFmtId="0" fontId="2" fillId="0" borderId="0" xfId="764" applyFont="1">
      <alignment/>
      <protection/>
    </xf>
    <xf numFmtId="0" fontId="2" fillId="0" borderId="0" xfId="762" applyFont="1">
      <alignment/>
      <protection/>
    </xf>
    <xf numFmtId="0" fontId="153" fillId="0" borderId="0" xfId="0" applyFont="1" applyAlignment="1">
      <alignment/>
    </xf>
    <xf numFmtId="0" fontId="5" fillId="0" borderId="0" xfId="762" applyFont="1">
      <alignment/>
      <protection/>
    </xf>
    <xf numFmtId="0" fontId="149" fillId="0" borderId="0" xfId="762" applyFont="1">
      <alignment/>
      <protection/>
    </xf>
    <xf numFmtId="0" fontId="149" fillId="0" borderId="0" xfId="762" applyFont="1" applyAlignment="1">
      <alignment/>
      <protection/>
    </xf>
    <xf numFmtId="0" fontId="2" fillId="0" borderId="0" xfId="762" applyFont="1" applyFill="1">
      <alignment/>
      <protection/>
    </xf>
    <xf numFmtId="0" fontId="2" fillId="0" borderId="0" xfId="764" applyFont="1" applyAlignment="1">
      <alignment horizontal="justify"/>
      <protection/>
    </xf>
    <xf numFmtId="0" fontId="2" fillId="0" borderId="0" xfId="761">
      <alignment/>
      <protection/>
    </xf>
    <xf numFmtId="0" fontId="2" fillId="0" borderId="0" xfId="761" applyFont="1" applyBorder="1">
      <alignment/>
      <protection/>
    </xf>
    <xf numFmtId="0" fontId="2" fillId="0" borderId="0" xfId="761" applyFont="1" applyBorder="1" applyAlignment="1">
      <alignment vertical="center" wrapText="1"/>
      <protection/>
    </xf>
    <xf numFmtId="0" fontId="2" fillId="0" borderId="0" xfId="761" applyAlignment="1">
      <alignment vertical="center" wrapText="1"/>
      <protection/>
    </xf>
    <xf numFmtId="0" fontId="0" fillId="0" borderId="0" xfId="0" applyFont="1" applyBorder="1" applyAlignment="1">
      <alignment/>
    </xf>
    <xf numFmtId="0" fontId="2" fillId="0" borderId="0" xfId="765" applyFont="1" applyFill="1" applyAlignment="1">
      <alignment horizontal="center"/>
      <protection/>
    </xf>
    <xf numFmtId="0" fontId="2" fillId="0" borderId="0" xfId="765" applyFont="1" applyFill="1" applyAlignment="1">
      <alignment horizontal="justify"/>
      <protection/>
    </xf>
    <xf numFmtId="166" fontId="2" fillId="0" borderId="0" xfId="614" applyNumberFormat="1" applyFont="1" applyFill="1" applyAlignment="1">
      <alignment/>
    </xf>
    <xf numFmtId="166" fontId="0" fillId="0" borderId="0" xfId="614" applyNumberFormat="1" applyFont="1" applyFill="1" applyAlignment="1">
      <alignment/>
    </xf>
    <xf numFmtId="0" fontId="0" fillId="0" borderId="0" xfId="0" applyFont="1" applyFill="1" applyBorder="1" applyAlignment="1">
      <alignment/>
    </xf>
    <xf numFmtId="0" fontId="2" fillId="0" borderId="0" xfId="0" applyFont="1" applyFill="1" applyBorder="1" applyAlignment="1">
      <alignment/>
    </xf>
    <xf numFmtId="0" fontId="2" fillId="0" borderId="0" xfId="0" applyFont="1" applyAlignment="1">
      <alignment horizontal="center"/>
    </xf>
    <xf numFmtId="166" fontId="0" fillId="0" borderId="0" xfId="614" applyNumberFormat="1" applyFont="1" applyAlignment="1">
      <alignment/>
    </xf>
    <xf numFmtId="166" fontId="0" fillId="0" borderId="0" xfId="614" applyNumberFormat="1" applyFont="1" applyBorder="1" applyAlignment="1">
      <alignment horizontal="center"/>
    </xf>
    <xf numFmtId="0" fontId="2" fillId="0" borderId="0" xfId="0" applyFont="1" applyAlignment="1">
      <alignment/>
    </xf>
    <xf numFmtId="0" fontId="0" fillId="0" borderId="0" xfId="763" applyFont="1">
      <alignment/>
      <protection/>
    </xf>
    <xf numFmtId="0" fontId="154" fillId="0" borderId="0" xfId="763" applyFont="1">
      <alignment/>
      <protection/>
    </xf>
    <xf numFmtId="0" fontId="154" fillId="0" borderId="0" xfId="763" applyFont="1" applyAlignment="1">
      <alignment horizontal="center"/>
      <protection/>
    </xf>
    <xf numFmtId="0" fontId="154" fillId="0" borderId="0" xfId="763" applyFont="1" applyAlignment="1">
      <alignment horizontal="left"/>
      <protection/>
    </xf>
    <xf numFmtId="3" fontId="154" fillId="0" borderId="0" xfId="763" applyNumberFormat="1" applyFont="1" applyAlignment="1">
      <alignment horizontal="center"/>
      <protection/>
    </xf>
    <xf numFmtId="0" fontId="4" fillId="0" borderId="0" xfId="763" applyFont="1">
      <alignment/>
      <protection/>
    </xf>
    <xf numFmtId="0" fontId="4" fillId="0" borderId="0" xfId="763" applyFont="1" applyBorder="1" applyAlignment="1">
      <alignment horizontal="center" vertical="center" wrapText="1"/>
      <protection/>
    </xf>
    <xf numFmtId="3" fontId="4" fillId="0" borderId="0" xfId="763" applyNumberFormat="1" applyFont="1" applyBorder="1" applyAlignment="1">
      <alignment horizontal="center" vertical="center" wrapText="1"/>
      <protection/>
    </xf>
    <xf numFmtId="0" fontId="4" fillId="0" borderId="0" xfId="763" applyFont="1" applyBorder="1" applyAlignment="1">
      <alignment horizontal="left" vertical="center" wrapText="1"/>
      <protection/>
    </xf>
    <xf numFmtId="43" fontId="15" fillId="0" borderId="0" xfId="0" applyNumberFormat="1" applyFont="1" applyFill="1" applyAlignment="1">
      <alignment vertical="center"/>
    </xf>
    <xf numFmtId="166" fontId="149" fillId="0" borderId="0" xfId="614" applyNumberFormat="1" applyFont="1" applyAlignment="1">
      <alignment/>
    </xf>
    <xf numFmtId="0" fontId="149" fillId="0" borderId="0" xfId="0" applyFont="1" applyAlignment="1">
      <alignment/>
    </xf>
    <xf numFmtId="0" fontId="155" fillId="0" borderId="0" xfId="0" applyNumberFormat="1" applyFont="1" applyFill="1" applyAlignment="1">
      <alignment vertical="center" wrapText="1"/>
    </xf>
    <xf numFmtId="0" fontId="7" fillId="0" borderId="0" xfId="0" applyFont="1" applyFill="1" applyAlignment="1">
      <alignment/>
    </xf>
    <xf numFmtId="0" fontId="9" fillId="0" borderId="0" xfId="764" applyFont="1">
      <alignment/>
      <protection/>
    </xf>
    <xf numFmtId="0" fontId="9" fillId="0" borderId="0" xfId="764" applyFont="1" applyAlignment="1">
      <alignment horizontal="justify"/>
      <protection/>
    </xf>
    <xf numFmtId="49" fontId="9" fillId="0" borderId="0" xfId="764" applyNumberFormat="1" applyFont="1">
      <alignment/>
      <protection/>
    </xf>
    <xf numFmtId="166" fontId="9" fillId="0" borderId="0" xfId="614" applyNumberFormat="1" applyFont="1" applyAlignment="1">
      <alignment/>
    </xf>
    <xf numFmtId="49" fontId="2" fillId="0" borderId="0" xfId="764" applyNumberFormat="1">
      <alignment/>
      <protection/>
    </xf>
    <xf numFmtId="166" fontId="2" fillId="0" borderId="0" xfId="614" applyNumberFormat="1" applyFont="1" applyAlignment="1">
      <alignment/>
    </xf>
    <xf numFmtId="0" fontId="4" fillId="0" borderId="0" xfId="764" applyFont="1">
      <alignment/>
      <protection/>
    </xf>
    <xf numFmtId="235" fontId="2" fillId="0" borderId="0" xfId="764" applyNumberFormat="1" applyFont="1">
      <alignment/>
      <protection/>
    </xf>
    <xf numFmtId="0" fontId="2" fillId="0" borderId="0" xfId="764" applyFont="1" applyFill="1">
      <alignment/>
      <protection/>
    </xf>
    <xf numFmtId="0" fontId="4" fillId="0" borderId="0" xfId="761" applyFont="1" applyFill="1">
      <alignment/>
      <protection/>
    </xf>
    <xf numFmtId="0" fontId="2" fillId="0" borderId="0" xfId="761" applyFont="1" applyFill="1">
      <alignment/>
      <protection/>
    </xf>
    <xf numFmtId="235" fontId="2" fillId="0" borderId="0" xfId="761" applyNumberFormat="1" applyFont="1" applyFill="1">
      <alignment/>
      <protection/>
    </xf>
    <xf numFmtId="0" fontId="156" fillId="0" borderId="0" xfId="0" applyFont="1" applyBorder="1" applyAlignment="1">
      <alignment/>
    </xf>
    <xf numFmtId="0" fontId="8" fillId="0" borderId="0" xfId="0" applyFont="1" applyFill="1" applyAlignment="1">
      <alignment/>
    </xf>
    <xf numFmtId="0" fontId="6" fillId="0" borderId="0" xfId="765" applyFont="1" applyFill="1" applyAlignment="1">
      <alignment/>
      <protection/>
    </xf>
    <xf numFmtId="0" fontId="7" fillId="0" borderId="0" xfId="765" applyFont="1" applyFill="1" applyAlignment="1">
      <alignment/>
      <protection/>
    </xf>
    <xf numFmtId="0" fontId="0" fillId="0" borderId="0" xfId="0" applyFill="1" applyAlignment="1">
      <alignment/>
    </xf>
    <xf numFmtId="0" fontId="2" fillId="0" borderId="17" xfId="0" applyFont="1" applyFill="1" applyBorder="1" applyAlignment="1">
      <alignment/>
    </xf>
    <xf numFmtId="0" fontId="2" fillId="0" borderId="0" xfId="765" applyFont="1" applyAlignment="1">
      <alignment horizontal="center"/>
      <protection/>
    </xf>
    <xf numFmtId="0" fontId="2" fillId="0" borderId="0" xfId="765" applyFont="1" applyAlignment="1">
      <alignment horizontal="justify"/>
      <protection/>
    </xf>
    <xf numFmtId="0" fontId="4" fillId="0" borderId="0" xfId="763" applyFont="1" applyFill="1">
      <alignment/>
      <protection/>
    </xf>
    <xf numFmtId="166" fontId="9" fillId="0" borderId="0" xfId="614" applyNumberFormat="1" applyFont="1" applyFill="1" applyAlignment="1">
      <alignment/>
    </xf>
    <xf numFmtId="0" fontId="9" fillId="0" borderId="0" xfId="0" applyFont="1" applyFill="1" applyAlignment="1">
      <alignment/>
    </xf>
    <xf numFmtId="0" fontId="147" fillId="0" borderId="0" xfId="0" applyFont="1" applyFill="1" applyAlignment="1">
      <alignment/>
    </xf>
    <xf numFmtId="166" fontId="147" fillId="0" borderId="0" xfId="614" applyNumberFormat="1" applyFont="1" applyFill="1" applyAlignment="1">
      <alignment/>
    </xf>
    <xf numFmtId="166" fontId="149" fillId="0" borderId="0" xfId="614" applyNumberFormat="1" applyFont="1" applyFill="1" applyAlignment="1">
      <alignment/>
    </xf>
    <xf numFmtId="0" fontId="149" fillId="0" borderId="0" xfId="0" applyFont="1" applyFill="1" applyAlignment="1">
      <alignment/>
    </xf>
    <xf numFmtId="235" fontId="149" fillId="0" borderId="0" xfId="0" applyNumberFormat="1" applyFont="1" applyFill="1" applyAlignment="1">
      <alignment/>
    </xf>
    <xf numFmtId="0" fontId="0" fillId="0" borderId="0" xfId="0" applyFont="1" applyFill="1" applyAlignment="1">
      <alignment horizontal="center" vertical="center" wrapText="1"/>
    </xf>
    <xf numFmtId="0" fontId="8" fillId="0" borderId="0" xfId="0" applyFont="1" applyFill="1" applyAlignment="1">
      <alignment vertical="center" wrapText="1"/>
    </xf>
    <xf numFmtId="0" fontId="6" fillId="0" borderId="0" xfId="0" applyNumberFormat="1" applyFont="1" applyFill="1" applyAlignment="1">
      <alignment vertical="center" wrapText="1"/>
    </xf>
    <xf numFmtId="0" fontId="7" fillId="0" borderId="0" xfId="0" applyNumberFormat="1" applyFont="1" applyFill="1" applyAlignment="1">
      <alignment vertical="center" wrapText="1"/>
    </xf>
    <xf numFmtId="0" fontId="8" fillId="0" borderId="0" xfId="0" applyFont="1" applyFill="1" applyAlignment="1">
      <alignment/>
    </xf>
    <xf numFmtId="166" fontId="9" fillId="0" borderId="0" xfId="614" applyNumberFormat="1" applyFont="1" applyAlignment="1">
      <alignment/>
    </xf>
    <xf numFmtId="0" fontId="0" fillId="0" borderId="0" xfId="0" applyFont="1" applyAlignment="1">
      <alignment/>
    </xf>
    <xf numFmtId="41" fontId="0" fillId="0" borderId="0" xfId="623" applyFont="1" applyAlignment="1">
      <alignment/>
    </xf>
    <xf numFmtId="167" fontId="0" fillId="0" borderId="0" xfId="614" applyNumberFormat="1" applyFont="1" applyAlignment="1">
      <alignment/>
    </xf>
    <xf numFmtId="0" fontId="152" fillId="0" borderId="0" xfId="0" applyFont="1" applyAlignment="1">
      <alignment/>
    </xf>
    <xf numFmtId="0" fontId="151" fillId="38" borderId="0" xfId="0" applyFont="1" applyFill="1" applyAlignment="1">
      <alignment/>
    </xf>
    <xf numFmtId="41" fontId="0" fillId="0" borderId="0" xfId="623" applyFont="1" applyAlignment="1">
      <alignment horizontal="justify"/>
    </xf>
    <xf numFmtId="0" fontId="8" fillId="0" borderId="0" xfId="0" applyFont="1" applyAlignment="1">
      <alignment vertical="center" wrapText="1"/>
    </xf>
    <xf numFmtId="0" fontId="6" fillId="0" borderId="0" xfId="0" applyNumberFormat="1" applyFont="1" applyAlignment="1">
      <alignment vertical="center" wrapText="1"/>
    </xf>
    <xf numFmtId="166" fontId="6" fillId="0" borderId="0" xfId="614" applyNumberFormat="1" applyFont="1" applyAlignment="1">
      <alignment horizontal="justify" vertical="center" wrapText="1"/>
    </xf>
    <xf numFmtId="235" fontId="0" fillId="0" borderId="0" xfId="0" applyNumberFormat="1" applyFill="1" applyAlignment="1">
      <alignment/>
    </xf>
    <xf numFmtId="166" fontId="5" fillId="0" borderId="0" xfId="614" applyNumberFormat="1" applyFont="1" applyFill="1" applyAlignment="1">
      <alignment/>
    </xf>
    <xf numFmtId="0" fontId="7" fillId="0" borderId="1" xfId="0" applyFont="1" applyFill="1" applyBorder="1" applyAlignment="1">
      <alignment horizontal="center" vertical="center" wrapText="1"/>
    </xf>
    <xf numFmtId="0" fontId="151" fillId="0" borderId="0" xfId="0" applyFont="1" applyFill="1" applyAlignment="1">
      <alignment vertical="center" wrapText="1"/>
    </xf>
    <xf numFmtId="0" fontId="151" fillId="0" borderId="0" xfId="0" applyFont="1" applyFill="1" applyAlignment="1">
      <alignment/>
    </xf>
    <xf numFmtId="0" fontId="152" fillId="0" borderId="0" xfId="0" applyFont="1" applyFill="1" applyAlignment="1">
      <alignment/>
    </xf>
    <xf numFmtId="167" fontId="6" fillId="0" borderId="0" xfId="614" applyNumberFormat="1" applyFont="1" applyFill="1" applyAlignment="1">
      <alignment horizontal="center" vertical="center" wrapText="1"/>
    </xf>
    <xf numFmtId="0" fontId="5" fillId="0" borderId="0" xfId="0" applyFont="1" applyFill="1" applyAlignment="1">
      <alignment/>
    </xf>
    <xf numFmtId="166" fontId="151" fillId="0" borderId="0" xfId="614" applyNumberFormat="1" applyFont="1" applyFill="1" applyAlignment="1">
      <alignment vertical="center" wrapText="1"/>
    </xf>
    <xf numFmtId="166" fontId="9" fillId="0" borderId="0" xfId="614" applyNumberFormat="1" applyFont="1" applyFill="1" applyAlignment="1">
      <alignment vertical="center" wrapText="1"/>
    </xf>
    <xf numFmtId="166" fontId="8" fillId="0" borderId="0" xfId="0" applyNumberFormat="1" applyFont="1" applyFill="1" applyAlignment="1">
      <alignment/>
    </xf>
    <xf numFmtId="41" fontId="0" fillId="0" borderId="0" xfId="623" applyFont="1" applyFill="1" applyAlignment="1">
      <alignment horizontal="justify"/>
    </xf>
    <xf numFmtId="0" fontId="0" fillId="0" borderId="0" xfId="0" applyFont="1" applyFill="1" applyAlignment="1">
      <alignment horizontal="center"/>
    </xf>
    <xf numFmtId="167" fontId="0" fillId="0" borderId="0" xfId="614" applyNumberFormat="1" applyFont="1" applyFill="1" applyAlignment="1">
      <alignment/>
    </xf>
    <xf numFmtId="41" fontId="0" fillId="0" borderId="0" xfId="0" applyNumberFormat="1" applyFont="1" applyFill="1" applyAlignment="1">
      <alignment horizontal="justify"/>
    </xf>
    <xf numFmtId="0" fontId="0" fillId="0" borderId="0" xfId="0" applyFont="1" applyFill="1" applyAlignment="1">
      <alignment horizontal="justify" vertical="center" wrapText="1"/>
    </xf>
    <xf numFmtId="167" fontId="0" fillId="0" borderId="0" xfId="614" applyNumberFormat="1" applyFont="1" applyFill="1" applyAlignment="1">
      <alignment vertical="center" wrapText="1"/>
    </xf>
    <xf numFmtId="0" fontId="151" fillId="0" borderId="0" xfId="0" applyFont="1" applyAlignment="1">
      <alignment vertical="center" wrapText="1"/>
    </xf>
    <xf numFmtId="167" fontId="15" fillId="0" borderId="0" xfId="0" applyNumberFormat="1" applyFont="1" applyFill="1" applyBorder="1" applyAlignment="1">
      <alignment horizontal="right" vertical="center" wrapText="1"/>
    </xf>
    <xf numFmtId="166" fontId="0" fillId="0" borderId="0" xfId="614" applyNumberFormat="1" applyFont="1" applyAlignment="1">
      <alignment vertical="center" wrapText="1"/>
    </xf>
    <xf numFmtId="166" fontId="6" fillId="0" borderId="0" xfId="614" applyNumberFormat="1" applyFont="1" applyAlignment="1">
      <alignment horizontal="center" vertical="center" wrapText="1"/>
    </xf>
    <xf numFmtId="0" fontId="4" fillId="0" borderId="1" xfId="0" applyNumberFormat="1" applyFont="1" applyBorder="1" applyAlignment="1">
      <alignment horizontal="center" vertical="center" wrapText="1"/>
    </xf>
    <xf numFmtId="0" fontId="4" fillId="38" borderId="0" xfId="0" applyFont="1" applyFill="1" applyAlignment="1">
      <alignment/>
    </xf>
    <xf numFmtId="0" fontId="2" fillId="38" borderId="0" xfId="0" applyFont="1" applyFill="1" applyAlignment="1">
      <alignment/>
    </xf>
    <xf numFmtId="41" fontId="2" fillId="0" borderId="0" xfId="623" applyFont="1" applyAlignment="1">
      <alignment horizontal="justify"/>
    </xf>
    <xf numFmtId="41" fontId="2" fillId="0" borderId="0" xfId="623" applyFont="1" applyAlignment="1">
      <alignment horizontal="center"/>
    </xf>
    <xf numFmtId="0" fontId="4" fillId="0" borderId="0" xfId="0" applyFont="1" applyAlignment="1">
      <alignment horizontal="center" vertical="center"/>
    </xf>
    <xf numFmtId="166" fontId="4" fillId="0" borderId="0" xfId="0" applyNumberFormat="1" applyFont="1" applyAlignment="1">
      <alignment vertical="center"/>
    </xf>
    <xf numFmtId="166" fontId="4" fillId="0" borderId="0" xfId="766" applyNumberFormat="1" applyFont="1" applyFill="1" applyAlignment="1">
      <alignment vertical="center"/>
      <protection/>
    </xf>
    <xf numFmtId="166" fontId="0" fillId="0" borderId="0" xfId="614" applyNumberFormat="1" applyFont="1" applyAlignment="1">
      <alignment/>
    </xf>
    <xf numFmtId="0" fontId="151" fillId="38" borderId="0" xfId="0" applyFont="1" applyFill="1" applyAlignment="1">
      <alignment/>
    </xf>
    <xf numFmtId="167" fontId="6" fillId="0" borderId="0" xfId="0" applyNumberFormat="1" applyFont="1" applyFill="1" applyAlignment="1">
      <alignment vertical="center" wrapText="1"/>
    </xf>
    <xf numFmtId="166" fontId="10" fillId="0" borderId="0" xfId="0" applyNumberFormat="1" applyFont="1" applyFill="1" applyAlignment="1">
      <alignment horizontal="center" vertical="center"/>
    </xf>
    <xf numFmtId="0" fontId="10" fillId="0" borderId="0" xfId="0" applyFont="1" applyFill="1" applyAlignment="1">
      <alignment horizontal="center" vertical="center"/>
    </xf>
    <xf numFmtId="0" fontId="8" fillId="0" borderId="1" xfId="0" applyFont="1" applyFill="1" applyBorder="1" applyAlignment="1">
      <alignment horizontal="center" vertical="center" wrapText="1"/>
    </xf>
    <xf numFmtId="0" fontId="2" fillId="0" borderId="0" xfId="0" applyFont="1" applyFill="1" applyAlignment="1">
      <alignment horizontal="left"/>
    </xf>
    <xf numFmtId="0" fontId="7" fillId="0" borderId="0" xfId="0" applyNumberFormat="1" applyFont="1" applyFill="1" applyAlignment="1">
      <alignment horizontal="center"/>
    </xf>
    <xf numFmtId="0" fontId="6" fillId="0" borderId="0" xfId="0" applyNumberFormat="1" applyFont="1" applyFill="1" applyAlignment="1">
      <alignment horizontal="center"/>
    </xf>
    <xf numFmtId="166" fontId="4" fillId="0" borderId="1" xfId="614" applyNumberFormat="1" applyFont="1" applyFill="1" applyBorder="1" applyAlignment="1">
      <alignment horizontal="center" vertical="center" wrapText="1"/>
    </xf>
    <xf numFmtId="167" fontId="8" fillId="0" borderId="35" xfId="628" applyNumberFormat="1" applyFont="1" applyFill="1" applyBorder="1" applyAlignment="1">
      <alignment horizontal="center" vertical="center" wrapText="1"/>
    </xf>
    <xf numFmtId="167" fontId="8" fillId="0" borderId="1" xfId="628" applyNumberFormat="1" applyFont="1" applyFill="1" applyBorder="1" applyAlignment="1">
      <alignment horizontal="center" vertical="center" wrapText="1"/>
    </xf>
    <xf numFmtId="167" fontId="1" fillId="0" borderId="0" xfId="614" applyNumberFormat="1" applyFont="1" applyFill="1" applyBorder="1" applyAlignment="1">
      <alignment horizontal="right"/>
    </xf>
    <xf numFmtId="0" fontId="0" fillId="0" borderId="0" xfId="0" applyFont="1" applyAlignment="1">
      <alignment horizontal="left"/>
    </xf>
    <xf numFmtId="0" fontId="8" fillId="0" borderId="1"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36" xfId="0" applyFont="1" applyFill="1" applyBorder="1" applyAlignment="1">
      <alignment horizontal="center" vertical="center" wrapText="1"/>
    </xf>
    <xf numFmtId="166" fontId="8" fillId="0" borderId="1" xfId="614" applyNumberFormat="1" applyFont="1" applyFill="1" applyBorder="1" applyAlignment="1">
      <alignment horizontal="center" vertical="center" wrapText="1"/>
    </xf>
    <xf numFmtId="166" fontId="8" fillId="0" borderId="37" xfId="628"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0" fillId="0" borderId="36" xfId="0" applyFont="1" applyFill="1" applyBorder="1" applyAlignment="1">
      <alignment horizontal="center" vertical="center" wrapText="1"/>
    </xf>
    <xf numFmtId="0" fontId="0" fillId="0" borderId="1" xfId="0" applyFont="1" applyFill="1" applyBorder="1" applyAlignment="1">
      <alignment horizontal="justify" vertical="center" wrapText="1"/>
    </xf>
    <xf numFmtId="166" fontId="0" fillId="0" borderId="1" xfId="614" applyNumberFormat="1" applyFont="1" applyFill="1" applyBorder="1" applyAlignment="1">
      <alignment horizontal="center" vertical="center" wrapText="1"/>
    </xf>
    <xf numFmtId="167" fontId="0" fillId="0" borderId="37" xfId="614" applyNumberFormat="1" applyFont="1" applyFill="1" applyBorder="1" applyAlignment="1">
      <alignment horizontal="center" vertical="center" wrapText="1"/>
    </xf>
    <xf numFmtId="166" fontId="0" fillId="0" borderId="37" xfId="628" applyNumberFormat="1" applyFont="1" applyFill="1" applyBorder="1" applyAlignment="1">
      <alignment horizontal="center" vertical="center" wrapText="1"/>
    </xf>
    <xf numFmtId="166" fontId="0" fillId="0" borderId="37" xfId="628" applyNumberFormat="1" applyFont="1" applyFill="1" applyBorder="1" applyAlignment="1">
      <alignment horizontal="justify" vertical="center" wrapText="1"/>
    </xf>
    <xf numFmtId="166" fontId="8" fillId="0" borderId="37" xfId="628" applyNumberFormat="1" applyFont="1" applyFill="1" applyBorder="1" applyAlignment="1">
      <alignment horizontal="justify" vertical="center" wrapText="1"/>
    </xf>
    <xf numFmtId="167" fontId="0" fillId="0" borderId="37" xfId="628" applyNumberFormat="1" applyFont="1" applyFill="1" applyBorder="1" applyAlignment="1">
      <alignment horizontal="justify" vertical="center"/>
    </xf>
    <xf numFmtId="167" fontId="8" fillId="0" borderId="37" xfId="628" applyNumberFormat="1" applyFont="1" applyFill="1" applyBorder="1" applyAlignment="1">
      <alignment horizontal="justify" vertical="center"/>
    </xf>
    <xf numFmtId="0" fontId="0" fillId="0" borderId="1" xfId="0" applyNumberFormat="1" applyFont="1" applyFill="1" applyBorder="1" applyAlignment="1">
      <alignment horizontal="justify" vertical="center" wrapText="1"/>
    </xf>
    <xf numFmtId="0" fontId="0" fillId="0" borderId="36" xfId="0" applyFont="1" applyFill="1" applyBorder="1" applyAlignment="1">
      <alignment horizontal="center" vertical="center" wrapText="1"/>
    </xf>
    <xf numFmtId="0" fontId="0" fillId="0" borderId="1" xfId="0" applyFont="1" applyFill="1" applyBorder="1" applyAlignment="1">
      <alignment horizontal="justify" vertical="center" wrapText="1"/>
    </xf>
    <xf numFmtId="166" fontId="0" fillId="0" borderId="1" xfId="614" applyNumberFormat="1" applyFont="1" applyFill="1" applyBorder="1" applyAlignment="1">
      <alignment horizontal="center" vertical="center" wrapText="1"/>
    </xf>
    <xf numFmtId="166" fontId="0" fillId="0" borderId="37" xfId="628" applyNumberFormat="1" applyFont="1" applyFill="1" applyBorder="1" applyAlignment="1">
      <alignment horizontal="center" vertical="center" wrapText="1"/>
    </xf>
    <xf numFmtId="167" fontId="8" fillId="0" borderId="38" xfId="628" applyNumberFormat="1" applyFont="1" applyFill="1" applyBorder="1" applyAlignment="1">
      <alignment horizontal="center" vertical="center" wrapText="1"/>
    </xf>
    <xf numFmtId="167" fontId="8" fillId="0" borderId="37" xfId="628" applyNumberFormat="1" applyFont="1" applyFill="1" applyBorder="1" applyAlignment="1">
      <alignment horizontal="center" vertical="center" wrapText="1"/>
    </xf>
    <xf numFmtId="0" fontId="6" fillId="0" borderId="0" xfId="0" applyFont="1" applyFill="1" applyAlignment="1">
      <alignment horizontal="center"/>
    </xf>
    <xf numFmtId="0" fontId="7" fillId="0" borderId="0" xfId="0" applyFont="1" applyFill="1" applyAlignment="1">
      <alignment horizontal="center"/>
    </xf>
    <xf numFmtId="0" fontId="8" fillId="0" borderId="39"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764" applyFont="1" applyAlignment="1">
      <alignment horizontal="center"/>
      <protection/>
    </xf>
    <xf numFmtId="0" fontId="7" fillId="0" borderId="0" xfId="764" applyFont="1" applyAlignment="1">
      <alignment horizontal="center"/>
      <protection/>
    </xf>
    <xf numFmtId="0" fontId="6" fillId="0" borderId="0" xfId="0" applyFont="1" applyAlignment="1">
      <alignment horizontal="center"/>
    </xf>
    <xf numFmtId="0" fontId="7" fillId="0" borderId="0" xfId="0" applyFont="1" applyAlignment="1">
      <alignment horizontal="center"/>
    </xf>
    <xf numFmtId="0" fontId="6" fillId="0" borderId="0" xfId="761" applyNumberFormat="1" applyFont="1" applyFill="1" applyAlignment="1">
      <alignment horizontal="center"/>
      <protection/>
    </xf>
    <xf numFmtId="0" fontId="6" fillId="0" borderId="0" xfId="761" applyFont="1" applyFill="1" applyAlignment="1">
      <alignment horizontal="center"/>
      <protection/>
    </xf>
    <xf numFmtId="0" fontId="7" fillId="0" borderId="0" xfId="761" applyNumberFormat="1" applyFont="1" applyAlignment="1">
      <alignment horizontal="center"/>
      <protection/>
    </xf>
    <xf numFmtId="0" fontId="7" fillId="0" borderId="0" xfId="761" applyFont="1" applyAlignment="1">
      <alignment horizontal="center"/>
      <protection/>
    </xf>
    <xf numFmtId="0" fontId="6" fillId="0" borderId="0" xfId="765" applyFont="1" applyFill="1" applyAlignment="1">
      <alignment horizontal="center"/>
      <protection/>
    </xf>
    <xf numFmtId="0" fontId="7" fillId="0" borderId="0" xfId="765" applyFont="1" applyFill="1" applyAlignment="1">
      <alignment horizontal="center"/>
      <protection/>
    </xf>
    <xf numFmtId="0" fontId="2" fillId="0" borderId="0" xfId="0" applyFont="1" applyAlignment="1">
      <alignment horizontal="left"/>
    </xf>
    <xf numFmtId="0" fontId="6"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0" xfId="0" applyFont="1" applyFill="1" applyAlignment="1">
      <alignment/>
    </xf>
    <xf numFmtId="0" fontId="6" fillId="0" borderId="0" xfId="0" applyNumberFormat="1" applyFont="1" applyAlignment="1">
      <alignment horizontal="center" vertical="center" wrapText="1"/>
    </xf>
    <xf numFmtId="0" fontId="7" fillId="0" borderId="0" xfId="0" applyNumberFormat="1" applyFont="1" applyAlignment="1">
      <alignment horizontal="center" vertical="center" wrapText="1"/>
    </xf>
    <xf numFmtId="0" fontId="0" fillId="0" borderId="0" xfId="0" applyFont="1" applyAlignment="1">
      <alignment horizontal="left"/>
    </xf>
    <xf numFmtId="0" fontId="0" fillId="0" borderId="0" xfId="0" applyAlignment="1">
      <alignment horizontal="left"/>
    </xf>
    <xf numFmtId="0" fontId="6" fillId="0" borderId="0" xfId="765" applyFont="1" applyAlignment="1">
      <alignment horizontal="center"/>
      <protection/>
    </xf>
    <xf numFmtId="0" fontId="7" fillId="0" borderId="0" xfId="765" applyFont="1" applyAlignment="1">
      <alignment horizontal="center"/>
      <protection/>
    </xf>
    <xf numFmtId="0" fontId="0" fillId="0" borderId="0" xfId="0" applyFont="1" applyFill="1" applyAlignment="1">
      <alignment horizontal="left"/>
    </xf>
    <xf numFmtId="0" fontId="8" fillId="0" borderId="1" xfId="0" applyFont="1" applyFill="1" applyBorder="1" applyAlignment="1">
      <alignment horizontal="center" vertical="center" wrapText="1"/>
    </xf>
    <xf numFmtId="0" fontId="6" fillId="0" borderId="0" xfId="759" applyNumberFormat="1" applyFont="1" applyAlignment="1">
      <alignment horizontal="center" vertical="center" wrapText="1"/>
      <protection/>
    </xf>
    <xf numFmtId="0" fontId="6"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xf>
    <xf numFmtId="0" fontId="0" fillId="0" borderId="0" xfId="0" applyFont="1" applyAlignment="1">
      <alignment horizontal="center" vertical="center"/>
    </xf>
    <xf numFmtId="167" fontId="0" fillId="0" borderId="37" xfId="614" applyNumberFormat="1" applyFont="1" applyFill="1" applyBorder="1" applyAlignment="1">
      <alignment horizontal="center" vertical="center" wrapText="1"/>
    </xf>
    <xf numFmtId="166" fontId="0" fillId="0" borderId="1" xfId="614" applyNumberFormat="1" applyFont="1" applyFill="1" applyBorder="1" applyAlignment="1">
      <alignment horizontal="justify" vertical="center" wrapText="1"/>
    </xf>
    <xf numFmtId="167" fontId="0" fillId="0" borderId="37" xfId="628" applyNumberFormat="1" applyFont="1" applyFill="1" applyBorder="1" applyAlignment="1">
      <alignment horizontal="justify" vertic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justify" vertical="center" wrapText="1"/>
    </xf>
    <xf numFmtId="166" fontId="0" fillId="0" borderId="41" xfId="614" applyNumberFormat="1" applyFont="1" applyFill="1" applyBorder="1" applyAlignment="1">
      <alignment horizontal="center" vertical="center" wrapText="1"/>
    </xf>
    <xf numFmtId="167" fontId="0" fillId="0" borderId="42" xfId="628" applyNumberFormat="1" applyFont="1" applyFill="1" applyBorder="1" applyAlignment="1">
      <alignment horizontal="justify" vertical="center"/>
    </xf>
    <xf numFmtId="0" fontId="14" fillId="0" borderId="0" xfId="0" applyFont="1" applyBorder="1" applyAlignment="1">
      <alignment/>
    </xf>
    <xf numFmtId="0" fontId="1" fillId="0" borderId="0" xfId="0" applyFont="1" applyFill="1" applyBorder="1" applyAlignment="1">
      <alignment horizontal="right"/>
    </xf>
    <xf numFmtId="0" fontId="4" fillId="0" borderId="39" xfId="0" applyFont="1" applyFill="1" applyBorder="1" applyAlignment="1">
      <alignment horizontal="center" vertical="center"/>
    </xf>
    <xf numFmtId="0" fontId="4" fillId="0" borderId="35" xfId="0" applyFont="1" applyFill="1" applyBorder="1" applyAlignment="1">
      <alignment horizontal="center" vertical="center"/>
    </xf>
    <xf numFmtId="167" fontId="4" fillId="0" borderId="35" xfId="614" applyNumberFormat="1" applyFont="1" applyFill="1" applyBorder="1" applyAlignment="1">
      <alignment horizontal="center" vertical="center"/>
    </xf>
    <xf numFmtId="0" fontId="4" fillId="0" borderId="35" xfId="0" applyNumberFormat="1" applyFont="1" applyFill="1" applyBorder="1" applyAlignment="1">
      <alignment horizontal="center" vertical="center"/>
    </xf>
    <xf numFmtId="0" fontId="4" fillId="0" borderId="36" xfId="0" applyFont="1" applyFill="1" applyBorder="1" applyAlignment="1">
      <alignment horizontal="center" vertical="center"/>
    </xf>
    <xf numFmtId="0" fontId="4" fillId="0" borderId="1" xfId="0" applyFont="1" applyFill="1" applyBorder="1" applyAlignment="1">
      <alignment horizontal="center" vertical="center"/>
    </xf>
    <xf numFmtId="167" fontId="4" fillId="0" borderId="1" xfId="614"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7" fontId="4" fillId="0" borderId="1" xfId="614"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4" fillId="0" borderId="1" xfId="0" applyNumberFormat="1" applyFont="1" applyFill="1" applyBorder="1" applyAlignment="1">
      <alignment horizontal="justify" vertical="center" wrapText="1"/>
    </xf>
    <xf numFmtId="0" fontId="2" fillId="0" borderId="36"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4" fillId="0" borderId="36" xfId="0" applyFont="1" applyFill="1" applyBorder="1" applyAlignment="1">
      <alignment horizontal="center" vertical="center" wrapText="1"/>
    </xf>
    <xf numFmtId="0" fontId="4" fillId="0" borderId="1" xfId="0" applyNumberFormat="1" applyFont="1" applyFill="1" applyBorder="1" applyAlignment="1">
      <alignment vertical="center" wrapText="1"/>
    </xf>
    <xf numFmtId="0" fontId="2" fillId="0" borderId="36" xfId="0" applyFont="1" applyFill="1" applyBorder="1" applyAlignment="1">
      <alignment horizontal="center" vertical="center" wrapText="1"/>
    </xf>
    <xf numFmtId="0" fontId="2" fillId="0" borderId="1" xfId="0" applyNumberFormat="1" applyFont="1" applyFill="1" applyBorder="1" applyAlignment="1">
      <alignment vertical="center" wrapText="1"/>
    </xf>
    <xf numFmtId="0" fontId="4" fillId="0" borderId="1" xfId="0" applyFont="1" applyFill="1" applyBorder="1" applyAlignment="1">
      <alignment horizontal="justify" vertical="center" wrapText="1"/>
    </xf>
    <xf numFmtId="0" fontId="4" fillId="0" borderId="40" xfId="0" applyFont="1" applyFill="1" applyBorder="1" applyAlignment="1">
      <alignment horizontal="center" vertical="center" wrapText="1"/>
    </xf>
    <xf numFmtId="0" fontId="4" fillId="0" borderId="41" xfId="0" applyNumberFormat="1" applyFont="1" applyFill="1" applyBorder="1" applyAlignment="1">
      <alignment vertical="center" wrapText="1"/>
    </xf>
    <xf numFmtId="167" fontId="14" fillId="0" borderId="0" xfId="0" applyNumberFormat="1" applyFont="1" applyBorder="1" applyAlignment="1">
      <alignment vertical="center" wrapText="1"/>
    </xf>
    <xf numFmtId="0" fontId="14" fillId="0" borderId="0" xfId="0" applyFont="1" applyBorder="1" applyAlignment="1">
      <alignment vertical="center" wrapText="1"/>
    </xf>
    <xf numFmtId="0" fontId="157" fillId="0" borderId="0" xfId="0" applyFont="1" applyBorder="1" applyAlignment="1">
      <alignment vertical="center" wrapText="1"/>
    </xf>
    <xf numFmtId="0" fontId="157" fillId="0" borderId="0" xfId="0" applyFont="1" applyBorder="1" applyAlignment="1">
      <alignment vertical="center" wrapText="1"/>
    </xf>
    <xf numFmtId="0" fontId="158" fillId="0" borderId="0" xfId="0" applyFont="1" applyBorder="1" applyAlignment="1">
      <alignment vertical="center" wrapText="1"/>
    </xf>
    <xf numFmtId="0" fontId="158" fillId="0" borderId="0" xfId="0" applyFont="1" applyBorder="1" applyAlignment="1">
      <alignment vertical="center" wrapText="1"/>
    </xf>
    <xf numFmtId="0" fontId="4" fillId="0" borderId="1"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7" xfId="0" applyNumberFormat="1" applyFont="1" applyFill="1" applyBorder="1" applyAlignment="1">
      <alignment horizontal="center" vertical="center"/>
    </xf>
    <xf numFmtId="0" fontId="4" fillId="0" borderId="37" xfId="0" applyNumberFormat="1" applyFont="1" applyFill="1" applyBorder="1" applyAlignment="1">
      <alignment horizontal="center" vertical="center" wrapText="1"/>
    </xf>
    <xf numFmtId="167" fontId="4" fillId="0" borderId="1" xfId="614" applyNumberFormat="1" applyFont="1" applyFill="1" applyBorder="1" applyAlignment="1">
      <alignment horizontal="right" vertical="center" wrapText="1"/>
    </xf>
    <xf numFmtId="167" fontId="4" fillId="0" borderId="37" xfId="614" applyNumberFormat="1" applyFont="1" applyFill="1" applyBorder="1" applyAlignment="1">
      <alignment horizontal="right" vertical="center" wrapText="1"/>
    </xf>
    <xf numFmtId="167" fontId="2" fillId="0" borderId="1" xfId="614" applyNumberFormat="1" applyFont="1" applyFill="1" applyBorder="1" applyAlignment="1">
      <alignment horizontal="right" vertical="center" wrapText="1"/>
    </xf>
    <xf numFmtId="167" fontId="2" fillId="0" borderId="37" xfId="614" applyNumberFormat="1" applyFont="1" applyFill="1" applyBorder="1" applyAlignment="1">
      <alignment horizontal="right" vertical="center" wrapText="1"/>
    </xf>
    <xf numFmtId="167" fontId="4" fillId="0" borderId="1" xfId="628" applyNumberFormat="1" applyFont="1" applyFill="1" applyBorder="1" applyAlignment="1">
      <alignment horizontal="right" vertical="center" wrapText="1"/>
    </xf>
    <xf numFmtId="167" fontId="4" fillId="0" borderId="37" xfId="628" applyNumberFormat="1" applyFont="1" applyFill="1" applyBorder="1" applyAlignment="1">
      <alignment horizontal="right" vertical="center" wrapText="1"/>
    </xf>
    <xf numFmtId="0" fontId="2" fillId="0" borderId="1" xfId="0" applyNumberFormat="1" applyFont="1" applyFill="1" applyBorder="1" applyAlignment="1">
      <alignment horizontal="right" vertical="center" wrapText="1"/>
    </xf>
    <xf numFmtId="167" fontId="4" fillId="0" borderId="41" xfId="614" applyNumberFormat="1" applyFont="1" applyFill="1" applyBorder="1" applyAlignment="1">
      <alignment horizontal="right" vertical="center" wrapText="1"/>
    </xf>
    <xf numFmtId="167" fontId="4" fillId="0" borderId="42" xfId="614" applyNumberFormat="1" applyFont="1" applyFill="1" applyBorder="1" applyAlignment="1">
      <alignment horizontal="right" vertical="center" wrapText="1"/>
    </xf>
    <xf numFmtId="0" fontId="7" fillId="0" borderId="0" xfId="0" applyFont="1" applyFill="1" applyAlignment="1">
      <alignment horizontal="center" vertical="center"/>
    </xf>
    <xf numFmtId="0" fontId="2" fillId="0" borderId="40" xfId="0" applyFont="1" applyFill="1" applyBorder="1" applyAlignment="1">
      <alignment horizontal="center" vertical="center" wrapText="1"/>
    </xf>
    <xf numFmtId="0" fontId="2" fillId="0" borderId="41" xfId="0" applyFont="1" applyFill="1" applyBorder="1" applyAlignment="1">
      <alignment horizontal="justify" vertical="center" wrapText="1"/>
    </xf>
    <xf numFmtId="0" fontId="6" fillId="0" borderId="39" xfId="767" applyFont="1" applyFill="1" applyBorder="1" applyAlignment="1">
      <alignment horizontal="center" vertical="center" wrapText="1"/>
      <protection/>
    </xf>
    <xf numFmtId="0" fontId="6" fillId="0" borderId="35" xfId="767" applyFont="1" applyFill="1" applyBorder="1" applyAlignment="1">
      <alignment horizontal="center" vertical="center" wrapText="1"/>
      <protection/>
    </xf>
    <xf numFmtId="0" fontId="6" fillId="0" borderId="38" xfId="767" applyFont="1" applyFill="1" applyBorder="1" applyAlignment="1">
      <alignment horizontal="center" vertical="center" wrapText="1"/>
      <protection/>
    </xf>
    <xf numFmtId="0" fontId="6" fillId="0" borderId="36" xfId="767" applyFont="1" applyFill="1" applyBorder="1" applyAlignment="1">
      <alignment horizontal="center" vertical="center" wrapText="1"/>
      <protection/>
    </xf>
    <xf numFmtId="166" fontId="6" fillId="0" borderId="1" xfId="614" applyNumberFormat="1" applyFont="1" applyFill="1" applyBorder="1" applyAlignment="1">
      <alignment horizontal="center" vertical="center" wrapText="1"/>
    </xf>
    <xf numFmtId="3" fontId="159" fillId="0" borderId="37" xfId="767" applyNumberFormat="1" applyFont="1" applyFill="1" applyBorder="1" applyAlignment="1">
      <alignment horizontal="center" vertical="center" wrapText="1"/>
      <protection/>
    </xf>
    <xf numFmtId="0" fontId="159" fillId="0" borderId="36" xfId="0" applyFont="1" applyFill="1" applyBorder="1" applyAlignment="1" quotePrefix="1">
      <alignment horizontal="center" vertical="center" wrapText="1"/>
    </xf>
    <xf numFmtId="0" fontId="159" fillId="0" borderId="1" xfId="0" applyFont="1" applyFill="1" applyBorder="1" applyAlignment="1">
      <alignment horizontal="justify" vertical="center" wrapText="1"/>
    </xf>
    <xf numFmtId="166" fontId="159" fillId="0" borderId="1" xfId="614" applyNumberFormat="1" applyFont="1" applyFill="1" applyBorder="1" applyAlignment="1">
      <alignment horizontal="center" vertical="center" wrapText="1"/>
    </xf>
    <xf numFmtId="166" fontId="159" fillId="0" borderId="37" xfId="614" applyNumberFormat="1" applyFont="1" applyFill="1" applyBorder="1" applyAlignment="1">
      <alignment horizontal="center" vertical="center" wrapText="1"/>
    </xf>
    <xf numFmtId="0" fontId="6" fillId="0" borderId="36" xfId="0" applyFont="1" applyFill="1" applyBorder="1" applyAlignment="1">
      <alignment horizontal="center" vertical="center" wrapText="1"/>
    </xf>
    <xf numFmtId="166" fontId="6" fillId="0" borderId="37" xfId="614" applyNumberFormat="1" applyFont="1" applyFill="1" applyBorder="1" applyAlignment="1">
      <alignment horizontal="center" vertical="center" wrapText="1"/>
    </xf>
    <xf numFmtId="0" fontId="159" fillId="0" borderId="36" xfId="0" applyFont="1" applyFill="1" applyBorder="1" applyAlignment="1">
      <alignment horizontal="center" vertical="center" wrapText="1"/>
    </xf>
    <xf numFmtId="166" fontId="159" fillId="0" borderId="37" xfId="614" applyNumberFormat="1" applyFont="1" applyFill="1" applyBorder="1" applyAlignment="1">
      <alignment horizontal="center" vertical="center" wrapText="1"/>
    </xf>
    <xf numFmtId="0" fontId="159" fillId="0" borderId="40" xfId="0" applyFont="1" applyFill="1" applyBorder="1" applyAlignment="1">
      <alignment horizontal="center" vertical="center" wrapText="1"/>
    </xf>
    <xf numFmtId="0" fontId="159" fillId="0" borderId="41" xfId="0" applyFont="1" applyFill="1" applyBorder="1" applyAlignment="1">
      <alignment horizontal="justify" vertical="center" wrapText="1"/>
    </xf>
    <xf numFmtId="166" fontId="159" fillId="0" borderId="41" xfId="614" applyNumberFormat="1" applyFont="1" applyFill="1" applyBorder="1" applyAlignment="1">
      <alignment horizontal="center" vertical="center" wrapText="1"/>
    </xf>
    <xf numFmtId="166" fontId="159" fillId="0" borderId="42" xfId="614" applyNumberFormat="1" applyFont="1" applyFill="1" applyBorder="1" applyAlignment="1">
      <alignment horizontal="center" vertical="center" wrapText="1"/>
    </xf>
    <xf numFmtId="0" fontId="6" fillId="0" borderId="1" xfId="767" applyNumberFormat="1" applyFont="1" applyFill="1" applyBorder="1" applyAlignment="1">
      <alignment horizontal="center" vertical="center" wrapText="1"/>
      <protection/>
    </xf>
    <xf numFmtId="0" fontId="1" fillId="0" borderId="14" xfId="0" applyFont="1" applyFill="1" applyBorder="1" applyAlignment="1">
      <alignment horizontal="right" vertical="center"/>
    </xf>
    <xf numFmtId="0" fontId="6" fillId="0" borderId="1" xfId="767" applyNumberFormat="1" applyFont="1" applyFill="1" applyBorder="1" applyAlignment="1">
      <alignment horizontal="justify" vertical="center" wrapText="1"/>
      <protection/>
    </xf>
    <xf numFmtId="166" fontId="6" fillId="0" borderId="1" xfId="614" applyNumberFormat="1" applyFont="1" applyFill="1" applyBorder="1" applyAlignment="1">
      <alignment horizontal="right" vertical="center" wrapText="1"/>
    </xf>
    <xf numFmtId="166" fontId="159" fillId="0" borderId="1" xfId="614" applyNumberFormat="1" applyFont="1" applyFill="1" applyBorder="1" applyAlignment="1">
      <alignment horizontal="right" vertical="center" wrapText="1"/>
    </xf>
    <xf numFmtId="166" fontId="159" fillId="0" borderId="41" xfId="614" applyNumberFormat="1" applyFont="1" applyFill="1" applyBorder="1" applyAlignment="1">
      <alignment horizontal="right" vertical="center" wrapText="1"/>
    </xf>
    <xf numFmtId="0" fontId="6" fillId="0" borderId="1" xfId="0" applyNumberFormat="1" applyFont="1" applyFill="1" applyBorder="1" applyAlignment="1">
      <alignment horizontal="justify" vertical="center" wrapText="1"/>
    </xf>
    <xf numFmtId="0"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1" fillId="0" borderId="0" xfId="764" applyFont="1" applyBorder="1" applyAlignment="1">
      <alignment horizontal="right"/>
      <protection/>
    </xf>
    <xf numFmtId="0" fontId="6" fillId="0" borderId="39"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6" fillId="0" borderId="38" xfId="0" applyNumberFormat="1"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7" fontId="6" fillId="0" borderId="1" xfId="614" applyNumberFormat="1" applyFont="1" applyFill="1" applyBorder="1" applyAlignment="1">
      <alignment horizontal="center" vertical="center" wrapText="1"/>
    </xf>
    <xf numFmtId="0" fontId="6" fillId="0" borderId="37" xfId="0" applyNumberFormat="1" applyFont="1" applyFill="1" applyBorder="1" applyAlignment="1">
      <alignment horizontal="center" vertical="center" wrapText="1"/>
    </xf>
    <xf numFmtId="167" fontId="6" fillId="0" borderId="1" xfId="614" applyNumberFormat="1" applyFont="1" applyFill="1" applyBorder="1" applyAlignment="1">
      <alignment horizontal="right" vertical="center" wrapText="1"/>
    </xf>
    <xf numFmtId="0" fontId="159" fillId="0" borderId="1" xfId="0" applyNumberFormat="1" applyFont="1" applyFill="1" applyBorder="1" applyAlignment="1">
      <alignment horizontal="justify" vertical="center" wrapText="1"/>
    </xf>
    <xf numFmtId="166" fontId="159" fillId="0" borderId="1" xfId="614" applyNumberFormat="1" applyFont="1" applyBorder="1" applyAlignment="1">
      <alignment horizontal="center" vertical="center" wrapText="1"/>
    </xf>
    <xf numFmtId="166" fontId="159" fillId="0" borderId="1" xfId="614" applyNumberFormat="1" applyFont="1" applyBorder="1" applyAlignment="1">
      <alignment horizontal="right" vertical="center" wrapText="1"/>
    </xf>
    <xf numFmtId="167" fontId="159" fillId="0" borderId="1" xfId="614" applyNumberFormat="1" applyFont="1" applyFill="1" applyBorder="1" applyAlignment="1">
      <alignment horizontal="right" vertical="center" wrapText="1"/>
    </xf>
    <xf numFmtId="0" fontId="159" fillId="0" borderId="41" xfId="0" applyNumberFormat="1" applyFont="1" applyFill="1" applyBorder="1" applyAlignment="1">
      <alignment horizontal="justify" vertical="center" wrapText="1"/>
    </xf>
    <xf numFmtId="166" fontId="159" fillId="0" borderId="41" xfId="614" applyNumberFormat="1" applyFont="1" applyBorder="1" applyAlignment="1">
      <alignment horizontal="right" vertical="center" wrapText="1"/>
    </xf>
    <xf numFmtId="167" fontId="159" fillId="0" borderId="41" xfId="614" applyNumberFormat="1" applyFont="1" applyFill="1" applyBorder="1" applyAlignment="1">
      <alignment horizontal="right" vertical="center" wrapText="1"/>
    </xf>
    <xf numFmtId="166" fontId="159" fillId="0" borderId="37" xfId="614" applyNumberFormat="1" applyFont="1" applyFill="1" applyBorder="1" applyAlignment="1">
      <alignment horizontal="right" vertical="center" wrapText="1"/>
    </xf>
    <xf numFmtId="166" fontId="159" fillId="0" borderId="42" xfId="614" applyNumberFormat="1" applyFont="1" applyFill="1" applyBorder="1" applyAlignment="1">
      <alignment horizontal="right" vertical="center" wrapText="1"/>
    </xf>
    <xf numFmtId="0" fontId="4" fillId="0" borderId="1" xfId="764" applyFont="1" applyBorder="1" applyAlignment="1">
      <alignment horizontal="center" vertical="center" wrapText="1"/>
      <protection/>
    </xf>
    <xf numFmtId="166" fontId="4" fillId="0" borderId="1" xfId="614" applyNumberFormat="1" applyFont="1" applyBorder="1" applyAlignment="1">
      <alignment horizontal="center" vertical="center" wrapText="1"/>
    </xf>
    <xf numFmtId="166" fontId="4" fillId="0" borderId="1" xfId="614" applyNumberFormat="1" applyFont="1" applyBorder="1" applyAlignment="1">
      <alignment horizontal="center" vertical="center" wrapText="1"/>
    </xf>
    <xf numFmtId="0" fontId="4" fillId="0" borderId="1" xfId="764" applyFont="1" applyBorder="1" applyAlignment="1">
      <alignment horizontal="center" vertical="center"/>
      <protection/>
    </xf>
    <xf numFmtId="0" fontId="4" fillId="0" borderId="1" xfId="0" applyFont="1" applyBorder="1" applyAlignment="1">
      <alignment horizontal="center" vertical="center" wrapText="1"/>
    </xf>
    <xf numFmtId="169" fontId="4" fillId="0" borderId="1" xfId="614" applyNumberFormat="1" applyFont="1" applyBorder="1" applyAlignment="1">
      <alignment horizontal="center" vertical="center" wrapText="1"/>
    </xf>
    <xf numFmtId="0" fontId="4" fillId="0" borderId="1" xfId="764" applyFont="1" applyBorder="1" applyAlignment="1">
      <alignment horizontal="center" vertical="center" wrapText="1"/>
      <protection/>
    </xf>
    <xf numFmtId="167" fontId="4" fillId="0" borderId="1" xfId="614" applyNumberFormat="1" applyFont="1" applyBorder="1" applyAlignment="1">
      <alignment horizontal="center" vertical="center" wrapText="1"/>
    </xf>
    <xf numFmtId="0" fontId="2" fillId="0" borderId="1" xfId="764" applyFont="1" applyBorder="1" applyAlignment="1">
      <alignment horizontal="center" vertical="center" wrapText="1"/>
      <protection/>
    </xf>
    <xf numFmtId="0" fontId="2" fillId="0" borderId="1" xfId="764" applyFont="1" applyBorder="1" applyAlignment="1">
      <alignment horizontal="justify" vertical="center" wrapText="1"/>
      <protection/>
    </xf>
    <xf numFmtId="3" fontId="2" fillId="0" borderId="1" xfId="764" applyNumberFormat="1" applyFont="1" applyBorder="1" applyAlignment="1">
      <alignment horizontal="center" vertical="center" wrapText="1"/>
      <protection/>
    </xf>
    <xf numFmtId="49" fontId="2" fillId="0" borderId="1" xfId="764" applyNumberFormat="1" applyFont="1" applyBorder="1" applyAlignment="1">
      <alignment horizontal="center" vertical="center" wrapText="1"/>
      <protection/>
    </xf>
    <xf numFmtId="166" fontId="2" fillId="0" borderId="1" xfId="614" applyNumberFormat="1" applyFont="1" applyBorder="1" applyAlignment="1">
      <alignment horizontal="right" vertical="center" wrapText="1"/>
    </xf>
    <xf numFmtId="0" fontId="4" fillId="0" borderId="39" xfId="764" applyFont="1" applyBorder="1" applyAlignment="1">
      <alignment horizontal="center" vertical="center"/>
      <protection/>
    </xf>
    <xf numFmtId="0" fontId="4" fillId="0" borderId="35" xfId="764" applyFont="1" applyBorder="1" applyAlignment="1">
      <alignment horizontal="center" vertical="center"/>
      <protection/>
    </xf>
    <xf numFmtId="0" fontId="4" fillId="0" borderId="35" xfId="0" applyFont="1" applyBorder="1" applyAlignment="1">
      <alignment horizontal="center" vertical="center" wrapText="1"/>
    </xf>
    <xf numFmtId="169" fontId="4" fillId="0" borderId="35" xfId="614" applyNumberFormat="1" applyFont="1" applyBorder="1" applyAlignment="1">
      <alignment horizontal="center" vertical="center" wrapText="1"/>
    </xf>
    <xf numFmtId="166" fontId="4" fillId="0" borderId="35" xfId="614" applyNumberFormat="1" applyFont="1" applyBorder="1" applyAlignment="1">
      <alignment horizontal="center" vertical="center" wrapText="1"/>
    </xf>
    <xf numFmtId="0" fontId="4" fillId="0" borderId="35" xfId="764" applyFont="1" applyBorder="1" applyAlignment="1">
      <alignment horizontal="center" vertical="center" wrapText="1"/>
      <protection/>
    </xf>
    <xf numFmtId="167" fontId="4" fillId="0" borderId="38" xfId="614" applyNumberFormat="1" applyFont="1" applyBorder="1" applyAlignment="1">
      <alignment horizontal="center" vertical="center" wrapText="1"/>
    </xf>
    <xf numFmtId="0" fontId="4" fillId="0" borderId="36" xfId="764" applyFont="1" applyBorder="1" applyAlignment="1">
      <alignment horizontal="center" vertical="center"/>
      <protection/>
    </xf>
    <xf numFmtId="167" fontId="4" fillId="0" borderId="37" xfId="614" applyNumberFormat="1" applyFont="1" applyBorder="1" applyAlignment="1">
      <alignment horizontal="center" vertical="center" wrapText="1"/>
    </xf>
    <xf numFmtId="0" fontId="4" fillId="0" borderId="36" xfId="764" applyFont="1" applyBorder="1" applyAlignment="1">
      <alignment horizontal="center" vertical="center" wrapText="1"/>
      <protection/>
    </xf>
    <xf numFmtId="0" fontId="2" fillId="0" borderId="36" xfId="764" applyFont="1" applyBorder="1" applyAlignment="1">
      <alignment horizontal="center" vertical="center" wrapText="1"/>
      <protection/>
    </xf>
    <xf numFmtId="167" fontId="2" fillId="0" borderId="37" xfId="614" applyNumberFormat="1" applyFont="1" applyBorder="1" applyAlignment="1">
      <alignment horizontal="center" vertical="center" wrapText="1"/>
    </xf>
    <xf numFmtId="0" fontId="2" fillId="0" borderId="40" xfId="764" applyFont="1" applyBorder="1" applyAlignment="1">
      <alignment horizontal="center" vertical="center" wrapText="1"/>
      <protection/>
    </xf>
    <xf numFmtId="0" fontId="2" fillId="0" borderId="41" xfId="764" applyFont="1" applyBorder="1" applyAlignment="1">
      <alignment horizontal="justify" vertical="center" wrapText="1"/>
      <protection/>
    </xf>
    <xf numFmtId="3" fontId="2" fillId="0" borderId="41" xfId="764" applyNumberFormat="1" applyFont="1" applyBorder="1" applyAlignment="1">
      <alignment horizontal="center" vertical="center" wrapText="1"/>
      <protection/>
    </xf>
    <xf numFmtId="0" fontId="2" fillId="0" borderId="41" xfId="764" applyFont="1" applyBorder="1" applyAlignment="1">
      <alignment horizontal="center" vertical="center" wrapText="1"/>
      <protection/>
    </xf>
    <xf numFmtId="49" fontId="2" fillId="0" borderId="41" xfId="764" applyNumberFormat="1" applyFont="1" applyBorder="1" applyAlignment="1">
      <alignment horizontal="center" vertical="center" wrapText="1"/>
      <protection/>
    </xf>
    <xf numFmtId="166" fontId="2" fillId="0" borderId="41" xfId="614" applyNumberFormat="1" applyFont="1" applyBorder="1" applyAlignment="1">
      <alignment horizontal="right" vertical="center" wrapText="1"/>
    </xf>
    <xf numFmtId="167" fontId="2" fillId="0" borderId="42" xfId="614" applyNumberFormat="1" applyFont="1" applyBorder="1" applyAlignment="1">
      <alignment horizontal="center" vertical="center" wrapText="1"/>
    </xf>
    <xf numFmtId="0" fontId="4" fillId="0" borderId="1" xfId="764" applyNumberFormat="1" applyFont="1" applyBorder="1" applyAlignment="1">
      <alignment horizontal="center" vertical="center" wrapText="1"/>
      <protection/>
    </xf>
    <xf numFmtId="0" fontId="4" fillId="0" borderId="1" xfId="764" applyNumberFormat="1" applyFont="1" applyBorder="1" applyAlignment="1">
      <alignment horizontal="left" vertical="center" wrapText="1"/>
      <protection/>
    </xf>
    <xf numFmtId="166" fontId="4" fillId="0" borderId="1" xfId="614" applyNumberFormat="1" applyFont="1" applyBorder="1" applyAlignment="1">
      <alignment horizontal="right" vertical="center" wrapText="1"/>
    </xf>
    <xf numFmtId="167" fontId="4" fillId="0" borderId="37" xfId="614" applyNumberFormat="1" applyFont="1" applyBorder="1" applyAlignment="1">
      <alignment horizontal="right" vertical="center" wrapText="1"/>
    </xf>
    <xf numFmtId="166" fontId="2" fillId="0" borderId="1" xfId="614" applyNumberFormat="1" applyFont="1" applyFill="1" applyBorder="1" applyAlignment="1">
      <alignment horizontal="right" vertical="center" wrapText="1"/>
    </xf>
    <xf numFmtId="167" fontId="2" fillId="0" borderId="37" xfId="614" applyNumberFormat="1" applyFont="1" applyBorder="1" applyAlignment="1">
      <alignment horizontal="right" vertical="center" wrapText="1"/>
    </xf>
    <xf numFmtId="166" fontId="2" fillId="0" borderId="41" xfId="614" applyNumberFormat="1" applyFont="1" applyFill="1" applyBorder="1" applyAlignment="1">
      <alignment horizontal="right" vertical="center" wrapText="1"/>
    </xf>
    <xf numFmtId="167" fontId="2" fillId="0" borderId="42" xfId="614" applyNumberFormat="1" applyFont="1" applyBorder="1" applyAlignment="1">
      <alignment horizontal="right" vertical="center" wrapText="1"/>
    </xf>
    <xf numFmtId="0" fontId="1" fillId="0" borderId="14" xfId="764" applyFont="1" applyBorder="1" applyAlignment="1">
      <alignment horizontal="right"/>
      <protection/>
    </xf>
    <xf numFmtId="0" fontId="1" fillId="0" borderId="0" xfId="762" applyFont="1" applyBorder="1" applyAlignment="1">
      <alignment/>
      <protection/>
    </xf>
    <xf numFmtId="0" fontId="4" fillId="0" borderId="3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7" xfId="0" applyFont="1" applyFill="1" applyBorder="1" applyAlignment="1">
      <alignment horizontal="center" vertical="center" wrapText="1"/>
    </xf>
    <xf numFmtId="0" fontId="1" fillId="0" borderId="3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7" xfId="0" applyFont="1" applyBorder="1" applyAlignment="1">
      <alignment horizontal="center" vertical="center" wrapText="1"/>
    </xf>
    <xf numFmtId="0" fontId="4" fillId="0" borderId="36" xfId="762" applyFont="1" applyBorder="1" applyAlignment="1">
      <alignment horizontal="center" vertical="center"/>
      <protection/>
    </xf>
    <xf numFmtId="171" fontId="4" fillId="0" borderId="1" xfId="614" applyNumberFormat="1" applyFont="1" applyBorder="1" applyAlignment="1">
      <alignment horizontal="right" vertical="center"/>
    </xf>
    <xf numFmtId="0" fontId="4" fillId="0" borderId="1" xfId="762" applyNumberFormat="1" applyFont="1" applyBorder="1" applyAlignment="1">
      <alignment horizontal="center" vertical="center"/>
      <protection/>
    </xf>
    <xf numFmtId="0" fontId="4" fillId="0" borderId="36" xfId="762" applyNumberFormat="1" applyFont="1" applyBorder="1" applyAlignment="1">
      <alignment horizontal="center" vertical="center"/>
      <protection/>
    </xf>
    <xf numFmtId="0" fontId="4" fillId="0" borderId="1" xfId="762" applyNumberFormat="1" applyFont="1" applyBorder="1" applyAlignment="1">
      <alignment horizontal="justify" vertical="center" wrapText="1"/>
      <protection/>
    </xf>
    <xf numFmtId="0" fontId="2" fillId="0" borderId="36" xfId="762" applyFont="1" applyBorder="1" applyAlignment="1">
      <alignment horizontal="center" vertical="center"/>
      <protection/>
    </xf>
    <xf numFmtId="0" fontId="2" fillId="0" borderId="1" xfId="762" applyNumberFormat="1" applyFont="1" applyBorder="1" applyAlignment="1">
      <alignment horizontal="left" vertical="center"/>
      <protection/>
    </xf>
    <xf numFmtId="171" fontId="2" fillId="0" borderId="1" xfId="614" applyNumberFormat="1" applyFont="1" applyBorder="1" applyAlignment="1">
      <alignment horizontal="right" vertical="center"/>
    </xf>
    <xf numFmtId="171" fontId="2" fillId="0" borderId="1" xfId="626" applyNumberFormat="1" applyFont="1" applyBorder="1" applyAlignment="1">
      <alignment horizontal="right" vertical="center"/>
    </xf>
    <xf numFmtId="171" fontId="160" fillId="0" borderId="1" xfId="626" applyNumberFormat="1" applyFont="1" applyBorder="1" applyAlignment="1">
      <alignment horizontal="right" vertical="center"/>
    </xf>
    <xf numFmtId="0" fontId="2" fillId="0" borderId="1" xfId="762" applyFont="1" applyBorder="1" applyAlignment="1">
      <alignment horizontal="left" vertical="center"/>
      <protection/>
    </xf>
    <xf numFmtId="0" fontId="2" fillId="0" borderId="40" xfId="762" applyFont="1" applyBorder="1" applyAlignment="1">
      <alignment horizontal="center" vertical="center"/>
      <protection/>
    </xf>
    <xf numFmtId="0" fontId="2" fillId="0" borderId="41" xfId="762" applyFont="1" applyBorder="1" applyAlignment="1">
      <alignment vertical="center"/>
      <protection/>
    </xf>
    <xf numFmtId="171" fontId="2" fillId="0" borderId="41" xfId="614" applyNumberFormat="1" applyFont="1" applyBorder="1" applyAlignment="1">
      <alignment horizontal="right" vertical="center"/>
    </xf>
    <xf numFmtId="171" fontId="2" fillId="0" borderId="41" xfId="626" applyNumberFormat="1" applyFont="1" applyBorder="1" applyAlignment="1">
      <alignment horizontal="right" vertical="center"/>
    </xf>
    <xf numFmtId="167" fontId="4" fillId="0" borderId="1" xfId="614" applyNumberFormat="1" applyFont="1" applyBorder="1" applyAlignment="1">
      <alignment horizontal="right" vertical="center"/>
    </xf>
    <xf numFmtId="167" fontId="4" fillId="0" borderId="37" xfId="614" applyNumberFormat="1" applyFont="1" applyBorder="1" applyAlignment="1">
      <alignment horizontal="right" vertical="center"/>
    </xf>
    <xf numFmtId="167" fontId="2" fillId="0" borderId="1" xfId="614" applyNumberFormat="1" applyFont="1" applyBorder="1" applyAlignment="1">
      <alignment horizontal="right" vertical="center"/>
    </xf>
    <xf numFmtId="167" fontId="2" fillId="0" borderId="37" xfId="614" applyNumberFormat="1" applyFont="1" applyBorder="1" applyAlignment="1">
      <alignment horizontal="right" vertical="center"/>
    </xf>
    <xf numFmtId="167" fontId="2" fillId="0" borderId="41" xfId="614" applyNumberFormat="1" applyFont="1" applyBorder="1" applyAlignment="1">
      <alignment horizontal="right" vertical="center"/>
    </xf>
    <xf numFmtId="167" fontId="2" fillId="0" borderId="42" xfId="614" applyNumberFormat="1" applyFont="1" applyBorder="1" applyAlignment="1">
      <alignment horizontal="right" vertical="center"/>
    </xf>
    <xf numFmtId="167" fontId="4" fillId="0" borderId="1" xfId="628" applyNumberFormat="1" applyFont="1" applyBorder="1" applyAlignment="1">
      <alignment horizontal="right" vertical="center" wrapText="1"/>
    </xf>
    <xf numFmtId="167" fontId="2" fillId="0" borderId="1" xfId="628" applyNumberFormat="1" applyFont="1" applyBorder="1" applyAlignment="1">
      <alignment horizontal="right" vertical="center" wrapText="1"/>
    </xf>
    <xf numFmtId="0" fontId="1" fillId="0" borderId="0" xfId="764" applyFont="1" applyBorder="1" applyAlignment="1">
      <alignment/>
      <protection/>
    </xf>
    <xf numFmtId="167" fontId="4" fillId="0" borderId="37" xfId="628" applyNumberFormat="1" applyFont="1" applyBorder="1" applyAlignment="1">
      <alignment horizontal="right" vertical="center" wrapText="1"/>
    </xf>
    <xf numFmtId="167" fontId="2" fillId="0" borderId="37" xfId="628" applyNumberFormat="1" applyFont="1" applyBorder="1" applyAlignment="1">
      <alignment horizontal="right" vertical="center" wrapText="1"/>
    </xf>
    <xf numFmtId="167" fontId="2" fillId="0" borderId="41" xfId="628" applyNumberFormat="1" applyFont="1" applyBorder="1" applyAlignment="1">
      <alignment horizontal="right" vertical="center" wrapText="1"/>
    </xf>
    <xf numFmtId="167" fontId="4" fillId="0" borderId="42" xfId="628" applyNumberFormat="1" applyFont="1" applyFill="1" applyBorder="1" applyAlignment="1">
      <alignment horizontal="right" vertical="center" wrapText="1"/>
    </xf>
    <xf numFmtId="0" fontId="4" fillId="0" borderId="39" xfId="764" applyFont="1" applyBorder="1" applyAlignment="1">
      <alignment horizontal="center" vertical="center"/>
      <protection/>
    </xf>
    <xf numFmtId="0" fontId="4" fillId="0" borderId="35" xfId="764" applyFont="1" applyBorder="1" applyAlignment="1">
      <alignment horizontal="center" vertical="center"/>
      <protection/>
    </xf>
    <xf numFmtId="0" fontId="4" fillId="0" borderId="35" xfId="764" applyFont="1" applyBorder="1" applyAlignment="1">
      <alignment horizontal="center" vertical="center" wrapText="1"/>
      <protection/>
    </xf>
    <xf numFmtId="0" fontId="4" fillId="0" borderId="38" xfId="764" applyFont="1" applyBorder="1" applyAlignment="1">
      <alignment horizontal="center" vertical="center" wrapText="1"/>
      <protection/>
    </xf>
    <xf numFmtId="3" fontId="4" fillId="0" borderId="1" xfId="764" applyNumberFormat="1" applyFont="1" applyBorder="1" applyAlignment="1">
      <alignment horizontal="center" vertical="center" wrapText="1"/>
      <protection/>
    </xf>
    <xf numFmtId="0" fontId="4" fillId="0" borderId="1" xfId="764" applyNumberFormat="1" applyFont="1" applyBorder="1" applyAlignment="1">
      <alignment horizontal="justify" vertical="center" wrapText="1"/>
      <protection/>
    </xf>
    <xf numFmtId="236" fontId="2" fillId="0" borderId="1" xfId="764" applyNumberFormat="1" applyFont="1" applyBorder="1" applyAlignment="1">
      <alignment horizontal="right" vertical="center" wrapText="1"/>
      <protection/>
    </xf>
    <xf numFmtId="0" fontId="4" fillId="0" borderId="1" xfId="764" applyFont="1" applyBorder="1" applyAlignment="1">
      <alignment horizontal="right" vertical="center" wrapText="1"/>
      <protection/>
    </xf>
    <xf numFmtId="167" fontId="4" fillId="0" borderId="1" xfId="764" applyNumberFormat="1" applyFont="1" applyBorder="1" applyAlignment="1">
      <alignment horizontal="right"/>
      <protection/>
    </xf>
    <xf numFmtId="0" fontId="2" fillId="0" borderId="37" xfId="764" applyFont="1" applyBorder="1" applyAlignment="1">
      <alignment horizontal="right"/>
      <protection/>
    </xf>
    <xf numFmtId="236" fontId="4" fillId="0" borderId="1" xfId="764" applyNumberFormat="1" applyFont="1" applyBorder="1" applyAlignment="1">
      <alignment horizontal="right" vertical="center" wrapText="1"/>
      <protection/>
    </xf>
    <xf numFmtId="167" fontId="2" fillId="0" borderId="42" xfId="628" applyNumberFormat="1" applyFont="1" applyBorder="1" applyAlignment="1">
      <alignment horizontal="right" vertical="center" wrapText="1"/>
    </xf>
    <xf numFmtId="0" fontId="6" fillId="0" borderId="0" xfId="761" applyNumberFormat="1" applyFont="1" applyAlignment="1">
      <alignment horizontal="center"/>
      <protection/>
    </xf>
    <xf numFmtId="0" fontId="6" fillId="0" borderId="0" xfId="761" applyFont="1" applyAlignment="1">
      <alignment horizontal="center"/>
      <protection/>
    </xf>
    <xf numFmtId="0" fontId="1" fillId="0" borderId="0" xfId="762" applyFont="1" applyBorder="1" applyAlignment="1">
      <alignment horizontal="right"/>
      <protection/>
    </xf>
    <xf numFmtId="0" fontId="4" fillId="0" borderId="39"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159" fillId="0" borderId="36" xfId="761" applyFont="1" applyFill="1" applyBorder="1" applyAlignment="1">
      <alignment horizontal="center"/>
      <protection/>
    </xf>
    <xf numFmtId="0" fontId="159" fillId="0" borderId="1" xfId="761" applyFont="1" applyFill="1" applyBorder="1" applyAlignment="1">
      <alignment horizontal="center" vertical="center" wrapText="1"/>
      <protection/>
    </xf>
    <xf numFmtId="0" fontId="159" fillId="0" borderId="37" xfId="761" applyFont="1" applyFill="1" applyBorder="1" applyAlignment="1">
      <alignment horizontal="center" vertical="center" wrapText="1"/>
      <protection/>
    </xf>
    <xf numFmtId="0" fontId="6" fillId="0" borderId="36" xfId="761" applyNumberFormat="1" applyFont="1" applyFill="1" applyBorder="1" applyAlignment="1">
      <alignment horizontal="center" vertical="center" wrapText="1"/>
      <protection/>
    </xf>
    <xf numFmtId="0" fontId="6" fillId="0" borderId="1" xfId="761" applyNumberFormat="1" applyFont="1" applyFill="1" applyBorder="1" applyAlignment="1">
      <alignment horizontal="center" vertical="center" wrapText="1"/>
      <protection/>
    </xf>
    <xf numFmtId="0" fontId="159" fillId="0" borderId="36" xfId="761" applyNumberFormat="1" applyFont="1" applyFill="1" applyBorder="1" applyAlignment="1">
      <alignment horizontal="center" vertical="center" wrapText="1"/>
      <protection/>
    </xf>
    <xf numFmtId="0" fontId="159" fillId="0" borderId="1" xfId="761" applyFont="1" applyFill="1" applyBorder="1" applyAlignment="1">
      <alignment horizontal="left" vertical="center" wrapText="1"/>
      <protection/>
    </xf>
    <xf numFmtId="0" fontId="159" fillId="0" borderId="1" xfId="761" applyNumberFormat="1" applyFont="1" applyFill="1" applyBorder="1" applyAlignment="1">
      <alignment horizontal="center" vertical="center" wrapText="1"/>
      <protection/>
    </xf>
    <xf numFmtId="0" fontId="159" fillId="0" borderId="36" xfId="761" applyFont="1" applyFill="1" applyBorder="1" applyAlignment="1">
      <alignment horizontal="center" vertical="center" wrapText="1"/>
      <protection/>
    </xf>
    <xf numFmtId="0" fontId="159" fillId="0" borderId="1" xfId="761" applyNumberFormat="1" applyFont="1" applyFill="1" applyBorder="1" applyAlignment="1">
      <alignment horizontal="justify" vertical="center" wrapText="1"/>
      <protection/>
    </xf>
    <xf numFmtId="0" fontId="6" fillId="0" borderId="40" xfId="761" applyFont="1" applyFill="1" applyBorder="1" applyAlignment="1">
      <alignment horizontal="center" vertical="center" wrapText="1"/>
      <protection/>
    </xf>
    <xf numFmtId="0" fontId="6" fillId="0" borderId="41" xfId="761" applyNumberFormat="1" applyFont="1" applyFill="1" applyBorder="1" applyAlignment="1">
      <alignment horizontal="center" vertical="center" wrapText="1"/>
      <protection/>
    </xf>
    <xf numFmtId="0" fontId="6" fillId="0" borderId="1" xfId="761" applyNumberFormat="1" applyFont="1" applyFill="1" applyBorder="1" applyAlignment="1">
      <alignment horizontal="left" vertical="center" wrapText="1"/>
      <protection/>
    </xf>
    <xf numFmtId="0" fontId="6" fillId="0" borderId="41" xfId="761" applyNumberFormat="1" applyFont="1" applyFill="1" applyBorder="1" applyAlignment="1">
      <alignment horizontal="left" vertical="center" wrapText="1"/>
      <protection/>
    </xf>
    <xf numFmtId="0" fontId="159" fillId="0" borderId="1" xfId="761" applyNumberFormat="1" applyFont="1" applyFill="1" applyBorder="1" applyAlignment="1" quotePrefix="1">
      <alignment horizontal="left" vertical="center" wrapText="1"/>
      <protection/>
    </xf>
    <xf numFmtId="43" fontId="6" fillId="0" borderId="37" xfId="614" applyNumberFormat="1" applyFont="1" applyFill="1" applyBorder="1" applyAlignment="1">
      <alignment horizontal="right" vertical="center" wrapText="1"/>
    </xf>
    <xf numFmtId="0" fontId="159" fillId="0" borderId="1" xfId="0" applyFont="1" applyFill="1" applyBorder="1" applyAlignment="1">
      <alignment horizontal="right" vertical="center"/>
    </xf>
    <xf numFmtId="43" fontId="159" fillId="0" borderId="37" xfId="614" applyNumberFormat="1" applyFont="1" applyFill="1" applyBorder="1" applyAlignment="1">
      <alignment horizontal="right" vertical="center" wrapText="1"/>
    </xf>
    <xf numFmtId="236" fontId="159" fillId="0" borderId="1" xfId="0" applyNumberFormat="1" applyFont="1" applyFill="1" applyBorder="1" applyAlignment="1">
      <alignment horizontal="right" vertical="center"/>
    </xf>
    <xf numFmtId="167" fontId="6" fillId="0" borderId="41" xfId="614" applyNumberFormat="1" applyFont="1" applyFill="1" applyBorder="1" applyAlignment="1">
      <alignment horizontal="right" vertical="center" wrapText="1"/>
    </xf>
    <xf numFmtId="43" fontId="6" fillId="0" borderId="42" xfId="614" applyNumberFormat="1" applyFont="1" applyFill="1" applyBorder="1" applyAlignment="1">
      <alignment horizontal="right" vertical="center" wrapText="1"/>
    </xf>
    <xf numFmtId="0" fontId="0" fillId="0" borderId="0" xfId="761" applyFont="1" applyFill="1">
      <alignment/>
      <protection/>
    </xf>
    <xf numFmtId="0" fontId="0" fillId="0" borderId="0" xfId="761" applyFont="1" applyFill="1" applyAlignment="1">
      <alignment vertical="center" wrapText="1"/>
      <protection/>
    </xf>
    <xf numFmtId="0" fontId="161" fillId="0" borderId="0" xfId="761" applyFont="1" applyFill="1" applyAlignment="1">
      <alignment vertical="center" wrapText="1"/>
      <protection/>
    </xf>
    <xf numFmtId="0" fontId="6" fillId="0" borderId="1" xfId="765" applyFont="1" applyFill="1" applyBorder="1" applyAlignment="1">
      <alignment horizontal="center" vertical="center" wrapText="1"/>
      <protection/>
    </xf>
    <xf numFmtId="166" fontId="6" fillId="0" borderId="1" xfId="614" applyNumberFormat="1" applyFont="1" applyFill="1" applyBorder="1" applyAlignment="1">
      <alignment horizontal="center" vertical="center" wrapText="1"/>
    </xf>
    <xf numFmtId="0" fontId="159" fillId="0" borderId="1" xfId="0" applyFont="1" applyFill="1" applyBorder="1" applyAlignment="1">
      <alignment horizontal="center" vertical="center" wrapText="1"/>
    </xf>
    <xf numFmtId="0" fontId="159" fillId="0" borderId="1" xfId="0" applyFont="1" applyFill="1" applyBorder="1" applyAlignment="1">
      <alignment horizontal="left" vertical="center" wrapText="1"/>
    </xf>
    <xf numFmtId="0" fontId="1" fillId="0" borderId="0" xfId="765" applyFont="1" applyFill="1" applyBorder="1" applyAlignment="1">
      <alignment horizontal="right"/>
      <protection/>
    </xf>
    <xf numFmtId="0" fontId="6" fillId="0" borderId="39" xfId="765" applyFont="1" applyFill="1" applyBorder="1" applyAlignment="1">
      <alignment horizontal="center" vertical="center" wrapText="1"/>
      <protection/>
    </xf>
    <xf numFmtId="0" fontId="6" fillId="0" borderId="35" xfId="765" applyFont="1" applyFill="1" applyBorder="1" applyAlignment="1">
      <alignment horizontal="center" vertical="center" wrapText="1"/>
      <protection/>
    </xf>
    <xf numFmtId="166" fontId="6" fillId="0" borderId="35" xfId="614" applyNumberFormat="1" applyFont="1" applyFill="1" applyBorder="1" applyAlignment="1">
      <alignment horizontal="center" vertical="center" wrapText="1"/>
    </xf>
    <xf numFmtId="0" fontId="6" fillId="0" borderId="38" xfId="765" applyFont="1" applyFill="1" applyBorder="1" applyAlignment="1">
      <alignment horizontal="center" vertical="center" wrapText="1"/>
      <protection/>
    </xf>
    <xf numFmtId="0" fontId="6" fillId="0" borderId="36" xfId="765" applyFont="1" applyFill="1" applyBorder="1" applyAlignment="1">
      <alignment horizontal="center" vertical="center" wrapText="1"/>
      <protection/>
    </xf>
    <xf numFmtId="0" fontId="6" fillId="0" borderId="37" xfId="765" applyFont="1" applyFill="1" applyBorder="1" applyAlignment="1">
      <alignment horizontal="center" vertical="center" wrapText="1"/>
      <protection/>
    </xf>
    <xf numFmtId="0" fontId="159" fillId="0" borderId="37" xfId="0" applyFont="1" applyFill="1" applyBorder="1" applyAlignment="1">
      <alignment horizontal="center" vertical="center" wrapText="1"/>
    </xf>
    <xf numFmtId="0" fontId="159" fillId="0" borderId="41" xfId="0" applyFont="1" applyFill="1" applyBorder="1" applyAlignment="1">
      <alignment horizontal="left" vertical="center" wrapText="1"/>
    </xf>
    <xf numFmtId="0" fontId="159" fillId="0" borderId="4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59" fillId="0" borderId="37" xfId="0" applyFont="1" applyFill="1" applyBorder="1" applyAlignment="1">
      <alignment horizontal="right" vertical="center" wrapText="1"/>
    </xf>
    <xf numFmtId="0" fontId="159" fillId="0" borderId="42" xfId="0" applyFont="1" applyFill="1" applyBorder="1" applyAlignment="1">
      <alignment horizontal="right" vertical="center" wrapText="1"/>
    </xf>
    <xf numFmtId="167" fontId="2" fillId="0" borderId="1" xfId="614" applyNumberFormat="1" applyFont="1" applyBorder="1" applyAlignment="1">
      <alignment horizontal="right" vertical="center" wrapText="1"/>
    </xf>
    <xf numFmtId="3" fontId="154" fillId="0" borderId="0" xfId="763" applyNumberFormat="1" applyFont="1" applyBorder="1" applyAlignment="1">
      <alignment horizontal="center"/>
      <protection/>
    </xf>
    <xf numFmtId="0" fontId="8" fillId="0" borderId="39" xfId="763" applyFont="1" applyBorder="1" applyAlignment="1">
      <alignment horizontal="center" vertical="center" wrapText="1"/>
      <protection/>
    </xf>
    <xf numFmtId="0" fontId="8" fillId="0" borderId="35" xfId="763" applyFont="1" applyBorder="1" applyAlignment="1">
      <alignment horizontal="center" vertical="center" wrapText="1"/>
      <protection/>
    </xf>
    <xf numFmtId="3" fontId="8" fillId="0" borderId="35" xfId="763" applyNumberFormat="1" applyFont="1" applyBorder="1" applyAlignment="1">
      <alignment horizontal="center" vertical="center" wrapText="1"/>
      <protection/>
    </xf>
    <xf numFmtId="0" fontId="8" fillId="0" borderId="38" xfId="763" applyFont="1" applyBorder="1" applyAlignment="1">
      <alignment horizontal="center" vertical="center" wrapText="1"/>
      <protection/>
    </xf>
    <xf numFmtId="0" fontId="8" fillId="0" borderId="36" xfId="763" applyFont="1" applyBorder="1" applyAlignment="1">
      <alignment horizontal="center" vertical="center" wrapText="1"/>
      <protection/>
    </xf>
    <xf numFmtId="3" fontId="8" fillId="0" borderId="1" xfId="763" applyNumberFormat="1" applyFont="1" applyBorder="1" applyAlignment="1">
      <alignment horizontal="center" vertical="center" wrapText="1"/>
      <protection/>
    </xf>
    <xf numFmtId="3" fontId="8" fillId="0" borderId="1" xfId="763" applyNumberFormat="1" applyFont="1" applyBorder="1" applyAlignment="1">
      <alignment horizontal="right" vertical="center" wrapText="1"/>
      <protection/>
    </xf>
    <xf numFmtId="3" fontId="8" fillId="0" borderId="37" xfId="763" applyNumberFormat="1" applyFont="1" applyBorder="1" applyAlignment="1">
      <alignment horizontal="left" vertical="center" wrapText="1"/>
      <protection/>
    </xf>
    <xf numFmtId="0" fontId="0" fillId="0" borderId="36" xfId="763" applyFont="1" applyBorder="1" applyAlignment="1">
      <alignment horizontal="center" vertical="center" wrapText="1"/>
      <protection/>
    </xf>
    <xf numFmtId="0" fontId="0" fillId="0" borderId="1" xfId="763" applyFont="1" applyBorder="1" applyAlignment="1">
      <alignment horizontal="justify" vertical="center" wrapText="1"/>
      <protection/>
    </xf>
    <xf numFmtId="3" fontId="0" fillId="0" borderId="1" xfId="763" applyNumberFormat="1" applyFont="1" applyBorder="1" applyAlignment="1">
      <alignment horizontal="center" vertical="center" wrapText="1"/>
      <protection/>
    </xf>
    <xf numFmtId="3" fontId="0" fillId="0" borderId="1" xfId="763" applyNumberFormat="1" applyFont="1" applyBorder="1" applyAlignment="1">
      <alignment horizontal="right" vertical="center" wrapText="1"/>
      <protection/>
    </xf>
    <xf numFmtId="166" fontId="0" fillId="0" borderId="37" xfId="614" applyNumberFormat="1" applyFont="1" applyBorder="1" applyAlignment="1">
      <alignment horizontal="right" vertical="center" wrapText="1"/>
    </xf>
    <xf numFmtId="3" fontId="0" fillId="0" borderId="1" xfId="763" applyNumberFormat="1" applyFont="1" applyBorder="1" applyAlignment="1">
      <alignment horizontal="center" vertical="center" wrapText="1"/>
      <protection/>
    </xf>
    <xf numFmtId="167" fontId="0" fillId="0" borderId="37" xfId="614" applyNumberFormat="1" applyFont="1" applyBorder="1" applyAlignment="1">
      <alignment horizontal="right" vertical="center" wrapText="1"/>
    </xf>
    <xf numFmtId="0" fontId="0" fillId="0" borderId="1" xfId="763" applyFont="1" applyFill="1" applyBorder="1" applyAlignment="1">
      <alignment horizontal="justify" vertical="center" wrapText="1"/>
      <protection/>
    </xf>
    <xf numFmtId="3" fontId="0" fillId="0" borderId="1" xfId="763" applyNumberFormat="1" applyFont="1" applyFill="1" applyBorder="1" applyAlignment="1">
      <alignment horizontal="right" vertical="center" wrapText="1"/>
      <protection/>
    </xf>
    <xf numFmtId="166" fontId="0" fillId="0" borderId="37" xfId="614" applyNumberFormat="1" applyFont="1" applyFill="1" applyBorder="1" applyAlignment="1">
      <alignment horizontal="center" vertical="center" wrapText="1"/>
    </xf>
    <xf numFmtId="0" fontId="0" fillId="0" borderId="40" xfId="763" applyFont="1" applyBorder="1" applyAlignment="1">
      <alignment horizontal="center" vertical="center" wrapText="1"/>
      <protection/>
    </xf>
    <xf numFmtId="0" fontId="0" fillId="0" borderId="41" xfId="763" applyFont="1" applyBorder="1" applyAlignment="1">
      <alignment horizontal="justify" vertical="center" wrapText="1"/>
      <protection/>
    </xf>
    <xf numFmtId="3" fontId="0" fillId="0" borderId="41" xfId="763" applyNumberFormat="1" applyFont="1" applyBorder="1" applyAlignment="1">
      <alignment horizontal="center" vertical="center" wrapText="1"/>
      <protection/>
    </xf>
    <xf numFmtId="3" fontId="0" fillId="0" borderId="41" xfId="763" applyNumberFormat="1" applyFont="1" applyBorder="1" applyAlignment="1">
      <alignment horizontal="right" vertical="center" wrapText="1"/>
      <protection/>
    </xf>
    <xf numFmtId="166" fontId="0" fillId="0" borderId="42" xfId="614" applyNumberFormat="1" applyFont="1" applyBorder="1" applyAlignment="1">
      <alignment horizontal="right" vertical="center" wrapText="1"/>
    </xf>
    <xf numFmtId="0" fontId="6" fillId="0" borderId="0" xfId="763" applyFont="1" applyAlignment="1">
      <alignment horizontal="center" vertical="center" wrapText="1"/>
      <protection/>
    </xf>
    <xf numFmtId="0" fontId="7" fillId="0" borderId="0" xfId="763" applyFont="1" applyAlignment="1">
      <alignment horizontal="center" vertical="center" wrapText="1"/>
      <protection/>
    </xf>
    <xf numFmtId="0" fontId="8" fillId="0" borderId="1" xfId="763" applyNumberFormat="1" applyFont="1" applyBorder="1" applyAlignment="1">
      <alignment horizontal="center" vertical="center" wrapText="1"/>
      <protection/>
    </xf>
    <xf numFmtId="0" fontId="1"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166" fontId="4" fillId="0" borderId="36" xfId="614" applyNumberFormat="1" applyFont="1" applyFill="1" applyBorder="1" applyAlignment="1">
      <alignment horizontal="center" vertical="center" wrapText="1"/>
    </xf>
    <xf numFmtId="166" fontId="4" fillId="0" borderId="1" xfId="614" applyNumberFormat="1" applyFont="1" applyFill="1" applyBorder="1" applyAlignment="1">
      <alignment horizontal="right" vertical="center" wrapText="1"/>
    </xf>
    <xf numFmtId="0" fontId="2" fillId="0" borderId="1" xfId="0" applyNumberFormat="1" applyFont="1" applyFill="1" applyBorder="1" applyAlignment="1">
      <alignment horizontal="justify" vertical="center" wrapText="1"/>
    </xf>
    <xf numFmtId="167" fontId="2" fillId="0" borderId="41" xfId="614" applyNumberFormat="1" applyFont="1" applyFill="1" applyBorder="1" applyAlignment="1">
      <alignment horizontal="right" vertical="center" wrapText="1"/>
    </xf>
    <xf numFmtId="166" fontId="4" fillId="0" borderId="1" xfId="614"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right" vertical="center" wrapText="1"/>
    </xf>
    <xf numFmtId="0" fontId="4" fillId="0" borderId="1" xfId="0" applyNumberFormat="1" applyFont="1" applyFill="1" applyBorder="1" applyAlignment="1">
      <alignment horizontal="right" vertical="center" wrapText="1"/>
    </xf>
    <xf numFmtId="235" fontId="4" fillId="0" borderId="1" xfId="0" applyNumberFormat="1" applyFont="1" applyFill="1" applyBorder="1" applyAlignment="1">
      <alignment horizontal="right" vertical="center" wrapText="1"/>
    </xf>
    <xf numFmtId="0" fontId="4" fillId="0" borderId="37" xfId="0" applyFont="1" applyFill="1" applyBorder="1" applyAlignment="1">
      <alignment horizontal="right" vertical="center" wrapText="1"/>
    </xf>
    <xf numFmtId="166" fontId="2" fillId="0" borderId="37" xfId="614" applyNumberFormat="1" applyFont="1" applyFill="1" applyBorder="1" applyAlignment="1">
      <alignment horizontal="right" vertical="center" wrapText="1"/>
    </xf>
    <xf numFmtId="166" fontId="4" fillId="0" borderId="37" xfId="614" applyNumberFormat="1" applyFont="1" applyFill="1" applyBorder="1" applyAlignment="1">
      <alignment horizontal="right" vertical="center" wrapText="1"/>
    </xf>
    <xf numFmtId="166" fontId="2" fillId="0" borderId="42" xfId="614" applyNumberFormat="1" applyFont="1" applyFill="1" applyBorder="1" applyAlignment="1">
      <alignment horizontal="right" vertical="center" wrapText="1"/>
    </xf>
    <xf numFmtId="0" fontId="6" fillId="0" borderId="0" xfId="0" applyFont="1" applyAlignment="1">
      <alignment horizontal="center" vertical="center" wrapText="1"/>
    </xf>
    <xf numFmtId="0" fontId="4" fillId="0" borderId="39" xfId="0" applyNumberFormat="1" applyFont="1" applyBorder="1" applyAlignment="1">
      <alignment horizontal="center" vertical="center" wrapText="1"/>
    </xf>
    <xf numFmtId="0" fontId="4" fillId="0" borderId="35" xfId="0" applyNumberFormat="1" applyFont="1" applyBorder="1" applyAlignment="1">
      <alignment horizontal="center" vertical="center" wrapText="1"/>
    </xf>
    <xf numFmtId="0" fontId="4" fillId="0" borderId="38"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37"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167" fontId="4" fillId="0" borderId="1" xfId="614" applyNumberFormat="1" applyFont="1" applyBorder="1" applyAlignment="1">
      <alignment horizontal="right" vertical="center" wrapText="1"/>
    </xf>
    <xf numFmtId="0" fontId="4" fillId="38" borderId="1" xfId="0" applyNumberFormat="1" applyFont="1" applyFill="1" applyBorder="1" applyAlignment="1">
      <alignment horizontal="justify" vertical="center" wrapText="1"/>
    </xf>
    <xf numFmtId="0" fontId="2" fillId="38" borderId="36" xfId="0" applyFont="1" applyFill="1" applyBorder="1" applyAlignment="1">
      <alignment horizontal="center" vertical="center" wrapText="1"/>
    </xf>
    <xf numFmtId="0" fontId="2" fillId="38" borderId="1" xfId="0" applyNumberFormat="1" applyFont="1" applyFill="1" applyBorder="1" applyAlignment="1">
      <alignment horizontal="justify" vertical="center" wrapText="1"/>
    </xf>
    <xf numFmtId="166" fontId="2" fillId="38" borderId="1" xfId="614" applyNumberFormat="1" applyFont="1" applyFill="1" applyBorder="1" applyAlignment="1">
      <alignment horizontal="right" vertical="center" wrapText="1"/>
    </xf>
    <xf numFmtId="167" fontId="2" fillId="38" borderId="1" xfId="614" applyNumberFormat="1" applyFont="1" applyFill="1" applyBorder="1" applyAlignment="1">
      <alignment horizontal="right" vertical="center" wrapText="1"/>
    </xf>
    <xf numFmtId="167" fontId="2" fillId="0" borderId="37" xfId="614" applyNumberFormat="1" applyFont="1" applyBorder="1" applyAlignment="1">
      <alignment horizontal="center" vertical="center" wrapText="1"/>
    </xf>
    <xf numFmtId="0" fontId="2" fillId="0" borderId="36" xfId="0" applyFont="1" applyBorder="1" applyAlignment="1">
      <alignment horizontal="center" vertical="center" wrapText="1"/>
    </xf>
    <xf numFmtId="0" fontId="2" fillId="0" borderId="1" xfId="0" applyNumberFormat="1" applyFont="1" applyBorder="1" applyAlignment="1">
      <alignment horizontal="justify" vertical="center" wrapText="1"/>
    </xf>
    <xf numFmtId="167" fontId="2" fillId="0" borderId="37" xfId="614" applyNumberFormat="1" applyFont="1" applyFill="1" applyBorder="1" applyAlignment="1">
      <alignment horizontal="center" vertical="center" wrapText="1"/>
    </xf>
    <xf numFmtId="0" fontId="2" fillId="0" borderId="1" xfId="0" applyFont="1" applyBorder="1" applyAlignment="1">
      <alignment horizontal="justify" vertical="center" wrapText="1"/>
    </xf>
    <xf numFmtId="166" fontId="0" fillId="0" borderId="0" xfId="614" applyNumberFormat="1" applyFont="1" applyAlignment="1">
      <alignment/>
    </xf>
    <xf numFmtId="0" fontId="2" fillId="0" borderId="40" xfId="0" applyFont="1" applyBorder="1" applyAlignment="1">
      <alignment horizontal="center" vertical="center" wrapText="1"/>
    </xf>
    <xf numFmtId="0" fontId="2" fillId="0" borderId="41" xfId="0" applyFont="1" applyBorder="1" applyAlignment="1">
      <alignment horizontal="justify" vertical="center" wrapText="1"/>
    </xf>
    <xf numFmtId="167" fontId="2" fillId="0" borderId="41" xfId="614" applyNumberFormat="1" applyFont="1" applyBorder="1" applyAlignment="1">
      <alignment horizontal="right" vertical="center" wrapText="1"/>
    </xf>
    <xf numFmtId="166" fontId="1" fillId="0" borderId="0" xfId="614" applyNumberFormat="1" applyFont="1" applyBorder="1" applyAlignment="1">
      <alignment horizontal="right"/>
    </xf>
    <xf numFmtId="167" fontId="2" fillId="0" borderId="37" xfId="0" applyNumberFormat="1" applyFont="1" applyBorder="1" applyAlignment="1">
      <alignment horizontal="right" vertical="center" wrapText="1"/>
    </xf>
    <xf numFmtId="166" fontId="4" fillId="0" borderId="1" xfId="614" applyNumberFormat="1" applyFont="1" applyBorder="1" applyAlignment="1">
      <alignment horizontal="justify" vertical="center" wrapText="1"/>
    </xf>
    <xf numFmtId="0" fontId="2" fillId="38" borderId="1" xfId="0" applyFont="1" applyFill="1" applyBorder="1" applyAlignment="1">
      <alignment horizontal="justify" vertical="center" wrapText="1"/>
    </xf>
    <xf numFmtId="167" fontId="4" fillId="0" borderId="37" xfId="0" applyNumberFormat="1" applyFont="1" applyBorder="1" applyAlignment="1">
      <alignment horizontal="right" vertical="center" wrapText="1"/>
    </xf>
    <xf numFmtId="167" fontId="2" fillId="0" borderId="37" xfId="0" applyNumberFormat="1" applyFont="1" applyBorder="1" applyAlignment="1">
      <alignment horizontal="center" vertical="center" wrapText="1"/>
    </xf>
    <xf numFmtId="167" fontId="2" fillId="0" borderId="42" xfId="0" applyNumberFormat="1" applyFont="1" applyBorder="1" applyAlignment="1">
      <alignment horizontal="right" vertical="center" wrapText="1"/>
    </xf>
    <xf numFmtId="0" fontId="4" fillId="0" borderId="36" xfId="0" applyNumberFormat="1" applyFont="1" applyBorder="1" applyAlignment="1">
      <alignment horizontal="center" vertical="center" wrapText="1"/>
    </xf>
    <xf numFmtId="0" fontId="151" fillId="0" borderId="0" xfId="0" applyFont="1" applyAlignment="1">
      <alignment/>
    </xf>
    <xf numFmtId="0" fontId="2" fillId="38" borderId="41" xfId="0" applyFont="1" applyFill="1" applyBorder="1" applyAlignment="1">
      <alignment horizontal="justify" vertical="center" wrapText="1"/>
    </xf>
    <xf numFmtId="0" fontId="1" fillId="0" borderId="0" xfId="765" applyFont="1" applyBorder="1" applyAlignment="1">
      <alignment horizontal="right"/>
      <protection/>
    </xf>
    <xf numFmtId="0" fontId="6" fillId="0" borderId="39" xfId="765" applyFont="1" applyBorder="1" applyAlignment="1">
      <alignment horizontal="center" vertical="center" wrapText="1"/>
      <protection/>
    </xf>
    <xf numFmtId="0" fontId="6" fillId="0" borderId="35" xfId="765" applyFont="1" applyBorder="1" applyAlignment="1">
      <alignment horizontal="center" vertical="center" wrapText="1"/>
      <protection/>
    </xf>
    <xf numFmtId="0" fontId="6" fillId="0" borderId="38" xfId="765" applyFont="1" applyBorder="1" applyAlignment="1">
      <alignment horizontal="center" vertical="center" wrapText="1"/>
      <protection/>
    </xf>
    <xf numFmtId="0" fontId="6" fillId="0" borderId="36" xfId="765" applyFont="1" applyFill="1" applyBorder="1" applyAlignment="1">
      <alignment horizontal="center" vertical="center" wrapText="1"/>
      <protection/>
    </xf>
    <xf numFmtId="0" fontId="6" fillId="0" borderId="1" xfId="765" applyFont="1" applyFill="1" applyBorder="1" applyAlignment="1">
      <alignment horizontal="center" vertical="center" wrapText="1"/>
      <protection/>
    </xf>
    <xf numFmtId="167" fontId="6" fillId="0" borderId="37" xfId="614" applyNumberFormat="1" applyFont="1" applyFill="1" applyBorder="1" applyAlignment="1">
      <alignment horizontal="center" vertical="center" wrapText="1"/>
    </xf>
    <xf numFmtId="0" fontId="159" fillId="0" borderId="36" xfId="765" applyFont="1" applyFill="1" applyBorder="1" applyAlignment="1">
      <alignment horizontal="center" vertical="center" wrapText="1"/>
      <protection/>
    </xf>
    <xf numFmtId="0" fontId="159" fillId="0" borderId="1" xfId="765" applyFont="1" applyFill="1" applyBorder="1" applyAlignment="1">
      <alignment horizontal="justify" vertical="center" wrapText="1"/>
      <protection/>
    </xf>
    <xf numFmtId="0" fontId="159" fillId="0" borderId="1" xfId="765" applyFont="1" applyFill="1" applyBorder="1" applyAlignment="1">
      <alignment horizontal="center" vertical="center" wrapText="1"/>
      <protection/>
    </xf>
    <xf numFmtId="167" fontId="159" fillId="0" borderId="37" xfId="614" applyNumberFormat="1" applyFont="1" applyFill="1" applyBorder="1" applyAlignment="1">
      <alignment horizontal="center" vertical="center" wrapText="1"/>
    </xf>
    <xf numFmtId="0" fontId="159" fillId="0" borderId="40" xfId="765" applyFont="1" applyFill="1" applyBorder="1" applyAlignment="1">
      <alignment horizontal="center" vertical="center" wrapText="1"/>
      <protection/>
    </xf>
    <xf numFmtId="0" fontId="159" fillId="0" borderId="41" xfId="765" applyFont="1" applyFill="1" applyBorder="1" applyAlignment="1">
      <alignment horizontal="justify" vertical="center" wrapText="1"/>
      <protection/>
    </xf>
    <xf numFmtId="0" fontId="159" fillId="0" borderId="41" xfId="765" applyFont="1" applyFill="1" applyBorder="1" applyAlignment="1">
      <alignment horizontal="center" vertical="center" wrapText="1"/>
      <protection/>
    </xf>
    <xf numFmtId="167" fontId="159" fillId="0" borderId="42" xfId="614" applyNumberFormat="1" applyFont="1" applyFill="1" applyBorder="1" applyAlignment="1">
      <alignment horizontal="center" vertical="center" wrapText="1"/>
    </xf>
    <xf numFmtId="0" fontId="6" fillId="0" borderId="1" xfId="765" applyNumberFormat="1" applyFont="1" applyFill="1" applyBorder="1" applyAlignment="1">
      <alignment horizontal="center" vertical="center" wrapText="1"/>
      <protection/>
    </xf>
    <xf numFmtId="0" fontId="8" fillId="0" borderId="36"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167" fontId="8" fillId="0" borderId="1" xfId="614"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37" xfId="0" applyFont="1" applyFill="1" applyBorder="1" applyAlignment="1">
      <alignment horizontal="center" vertical="center" wrapText="1"/>
    </xf>
    <xf numFmtId="166" fontId="8" fillId="0" borderId="1" xfId="614" applyNumberFormat="1" applyFont="1" applyFill="1" applyBorder="1" applyAlignment="1">
      <alignment horizontal="right" vertical="center" wrapText="1"/>
    </xf>
    <xf numFmtId="167" fontId="8" fillId="0" borderId="1" xfId="614" applyNumberFormat="1" applyFont="1" applyFill="1" applyBorder="1" applyAlignment="1">
      <alignment horizontal="right" vertical="center" wrapText="1"/>
    </xf>
    <xf numFmtId="167" fontId="0" fillId="0" borderId="37" xfId="0" applyNumberFormat="1" applyFont="1" applyFill="1" applyBorder="1" applyAlignment="1">
      <alignment horizontal="right" vertical="center" wrapText="1"/>
    </xf>
    <xf numFmtId="167" fontId="8" fillId="0" borderId="37" xfId="614" applyNumberFormat="1" applyFont="1" applyFill="1" applyBorder="1" applyAlignment="1">
      <alignment horizontal="right" vertical="center" wrapText="1"/>
    </xf>
    <xf numFmtId="166" fontId="0" fillId="0" borderId="1" xfId="614" applyNumberFormat="1" applyFont="1" applyFill="1" applyBorder="1" applyAlignment="1">
      <alignment horizontal="right" vertical="center" wrapText="1"/>
    </xf>
    <xf numFmtId="167" fontId="0" fillId="0" borderId="1" xfId="614" applyNumberFormat="1" applyFont="1" applyFill="1" applyBorder="1" applyAlignment="1">
      <alignment horizontal="right" vertical="center" wrapText="1"/>
    </xf>
    <xf numFmtId="167" fontId="8" fillId="0" borderId="37" xfId="0" applyNumberFormat="1" applyFont="1" applyFill="1" applyBorder="1" applyAlignment="1">
      <alignment horizontal="right" vertical="center" wrapText="1"/>
    </xf>
    <xf numFmtId="167" fontId="0" fillId="0" borderId="37" xfId="614" applyNumberFormat="1" applyFont="1" applyFill="1" applyBorder="1" applyAlignment="1">
      <alignment horizontal="right" vertical="center" wrapText="1"/>
    </xf>
    <xf numFmtId="166" fontId="0" fillId="0" borderId="1" xfId="614" applyNumberFormat="1" applyFont="1" applyFill="1" applyBorder="1" applyAlignment="1">
      <alignment horizontal="right" vertical="center" wrapText="1"/>
    </xf>
    <xf numFmtId="167" fontId="0" fillId="0" borderId="1" xfId="614" applyNumberFormat="1" applyFont="1" applyFill="1" applyBorder="1" applyAlignment="1">
      <alignment horizontal="right" vertical="center" wrapText="1"/>
    </xf>
    <xf numFmtId="167" fontId="0" fillId="0" borderId="37" xfId="614" applyNumberFormat="1" applyFont="1" applyFill="1" applyBorder="1" applyAlignment="1">
      <alignment horizontal="right" vertical="center" wrapText="1"/>
    </xf>
    <xf numFmtId="0" fontId="159" fillId="0" borderId="0" xfId="0" applyNumberFormat="1" applyFont="1" applyFill="1" applyAlignment="1">
      <alignment vertical="center" wrapText="1"/>
    </xf>
    <xf numFmtId="167" fontId="0" fillId="0" borderId="37" xfId="0" applyNumberFormat="1" applyFont="1" applyFill="1" applyBorder="1" applyAlignment="1">
      <alignment horizontal="right" vertical="center" wrapText="1"/>
    </xf>
    <xf numFmtId="166" fontId="0" fillId="0" borderId="41" xfId="614" applyNumberFormat="1" applyFont="1" applyFill="1" applyBorder="1" applyAlignment="1">
      <alignment horizontal="right" vertical="center" wrapText="1"/>
    </xf>
    <xf numFmtId="167" fontId="0" fillId="0" borderId="41" xfId="614" applyNumberFormat="1" applyFont="1" applyFill="1" applyBorder="1" applyAlignment="1">
      <alignment horizontal="right" vertical="center" wrapText="1"/>
    </xf>
    <xf numFmtId="167" fontId="0" fillId="0" borderId="42" xfId="614" applyNumberFormat="1" applyFont="1" applyFill="1" applyBorder="1" applyAlignment="1">
      <alignment horizontal="right" vertical="center" wrapText="1"/>
    </xf>
    <xf numFmtId="167" fontId="0" fillId="0" borderId="0" xfId="614" applyNumberFormat="1" applyFont="1" applyAlignment="1">
      <alignment horizontal="left"/>
    </xf>
    <xf numFmtId="0" fontId="161" fillId="0" borderId="0" xfId="0" applyFont="1" applyAlignment="1">
      <alignment horizontal="left"/>
    </xf>
    <xf numFmtId="0" fontId="8" fillId="0" borderId="37" xfId="0" applyFont="1" applyFill="1" applyBorder="1" applyAlignment="1">
      <alignment horizontal="center" vertical="center" wrapText="1"/>
    </xf>
    <xf numFmtId="167" fontId="0" fillId="0" borderId="1" xfId="614" applyNumberFormat="1" applyFont="1" applyFill="1" applyBorder="1" applyAlignment="1">
      <alignment horizontal="center" vertical="center" wrapText="1"/>
    </xf>
    <xf numFmtId="0" fontId="8" fillId="0" borderId="1" xfId="0" applyNumberFormat="1" applyFont="1" applyFill="1" applyBorder="1" applyAlignment="1">
      <alignment horizontal="justify" vertical="center" wrapText="1"/>
    </xf>
    <xf numFmtId="49" fontId="0" fillId="0" borderId="1" xfId="623" applyNumberFormat="1" applyFont="1" applyFill="1" applyBorder="1" applyAlignment="1">
      <alignment horizontal="justify" vertical="center" wrapText="1"/>
    </xf>
    <xf numFmtId="0" fontId="0" fillId="0" borderId="40" xfId="0" applyFont="1" applyFill="1" applyBorder="1" applyAlignment="1">
      <alignment horizontal="center" vertical="center" wrapText="1"/>
    </xf>
    <xf numFmtId="0" fontId="0" fillId="0" borderId="41" xfId="0" applyNumberFormat="1" applyFont="1" applyFill="1" applyBorder="1" applyAlignment="1">
      <alignment horizontal="justify" vertical="center" wrapText="1"/>
    </xf>
    <xf numFmtId="166" fontId="0" fillId="0" borderId="41" xfId="614" applyNumberFormat="1" applyFont="1" applyFill="1" applyBorder="1" applyAlignment="1">
      <alignment horizontal="right" vertical="center" wrapText="1"/>
    </xf>
    <xf numFmtId="167" fontId="0" fillId="0" borderId="41" xfId="614" applyNumberFormat="1" applyFont="1" applyFill="1" applyBorder="1" applyAlignment="1">
      <alignment horizontal="right" vertical="center" wrapText="1"/>
    </xf>
    <xf numFmtId="167" fontId="0" fillId="0" borderId="41" xfId="614" applyNumberFormat="1" applyFont="1" applyFill="1" applyBorder="1" applyAlignment="1">
      <alignment horizontal="center" vertical="center" wrapText="1"/>
    </xf>
    <xf numFmtId="167" fontId="0" fillId="0" borderId="42" xfId="0" applyNumberFormat="1" applyFont="1" applyFill="1" applyBorder="1" applyAlignment="1">
      <alignment horizontal="right" vertical="center" wrapText="1"/>
    </xf>
    <xf numFmtId="0" fontId="1" fillId="0" borderId="14" xfId="0" applyFont="1" applyFill="1" applyBorder="1" applyAlignment="1">
      <alignment horizontal="right" vertical="center" wrapText="1"/>
    </xf>
    <xf numFmtId="0" fontId="1" fillId="0" borderId="0" xfId="0" applyFont="1" applyFill="1" applyBorder="1" applyAlignment="1">
      <alignment horizontal="right" vertical="center" wrapText="1"/>
    </xf>
    <xf numFmtId="167" fontId="6" fillId="0" borderId="37" xfId="614" applyNumberFormat="1" applyFont="1" applyFill="1" applyBorder="1" applyAlignment="1">
      <alignment horizontal="right" vertical="center" wrapText="1"/>
    </xf>
    <xf numFmtId="167" fontId="159" fillId="0" borderId="37" xfId="0" applyNumberFormat="1" applyFont="1" applyFill="1" applyBorder="1" applyAlignment="1">
      <alignment horizontal="right" vertical="center" wrapText="1"/>
    </xf>
    <xf numFmtId="167" fontId="159" fillId="0" borderId="37" xfId="614" applyNumberFormat="1" applyFont="1" applyFill="1" applyBorder="1" applyAlignment="1">
      <alignment horizontal="right" vertical="center" wrapText="1"/>
    </xf>
    <xf numFmtId="167" fontId="159" fillId="0" borderId="42" xfId="0" applyNumberFormat="1" applyFont="1" applyFill="1" applyBorder="1" applyAlignment="1">
      <alignment horizontal="right" vertical="center" wrapText="1"/>
    </xf>
    <xf numFmtId="167" fontId="159" fillId="0" borderId="1" xfId="614" applyNumberFormat="1" applyFont="1" applyBorder="1" applyAlignment="1">
      <alignment horizontal="right" vertical="center" wrapText="1"/>
    </xf>
    <xf numFmtId="0" fontId="159" fillId="0" borderId="1" xfId="0" applyNumberFormat="1" applyFont="1" applyFill="1" applyBorder="1" applyAlignment="1">
      <alignment horizontal="center" vertical="center" wrapText="1"/>
    </xf>
    <xf numFmtId="166" fontId="1" fillId="0" borderId="0" xfId="0" applyNumberFormat="1" applyFont="1" applyBorder="1" applyAlignment="1">
      <alignment horizontal="right" vertical="center" wrapText="1"/>
    </xf>
    <xf numFmtId="0" fontId="159" fillId="0" borderId="36" xfId="0" applyFont="1" applyBorder="1" applyAlignment="1">
      <alignment horizontal="center" vertical="center" wrapText="1"/>
    </xf>
    <xf numFmtId="167" fontId="159" fillId="0" borderId="37" xfId="614" applyNumberFormat="1" applyFont="1" applyBorder="1" applyAlignment="1">
      <alignment horizontal="right" vertical="center" wrapText="1"/>
    </xf>
    <xf numFmtId="0" fontId="159" fillId="38" borderId="36" xfId="0" applyFont="1" applyFill="1" applyBorder="1" applyAlignment="1">
      <alignment horizontal="center" vertical="center" wrapText="1"/>
    </xf>
    <xf numFmtId="167" fontId="159" fillId="0" borderId="37" xfId="0" applyNumberFormat="1" applyFont="1" applyBorder="1" applyAlignment="1">
      <alignment horizontal="right" vertical="center" wrapText="1"/>
    </xf>
    <xf numFmtId="0" fontId="159" fillId="38" borderId="40" xfId="0" applyFont="1" applyFill="1" applyBorder="1" applyAlignment="1">
      <alignment horizontal="center" vertical="center" wrapText="1"/>
    </xf>
    <xf numFmtId="167" fontId="159" fillId="0" borderId="41" xfId="614" applyNumberFormat="1" applyFont="1" applyBorder="1" applyAlignment="1">
      <alignment horizontal="right" vertical="center" wrapText="1"/>
    </xf>
    <xf numFmtId="167" fontId="159" fillId="0" borderId="42" xfId="0" applyNumberFormat="1" applyFont="1" applyBorder="1" applyAlignment="1">
      <alignment horizontal="right" vertical="center" wrapText="1"/>
    </xf>
    <xf numFmtId="0" fontId="6" fillId="0" borderId="39" xfId="0" applyNumberFormat="1"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38" xfId="0" applyNumberFormat="1" applyFont="1" applyBorder="1" applyAlignment="1">
      <alignment horizontal="center" vertical="center" wrapText="1"/>
    </xf>
    <xf numFmtId="166" fontId="6" fillId="0" borderId="1" xfId="614" applyNumberFormat="1" applyFont="1" applyBorder="1" applyAlignment="1">
      <alignment horizontal="center" vertical="center" wrapText="1"/>
    </xf>
    <xf numFmtId="167" fontId="6" fillId="0" borderId="1" xfId="614" applyNumberFormat="1" applyFont="1" applyBorder="1" applyAlignment="1">
      <alignment horizontal="right" vertical="center" wrapText="1"/>
    </xf>
    <xf numFmtId="0" fontId="8" fillId="0" borderId="1" xfId="766" applyFont="1" applyFill="1" applyBorder="1" applyAlignment="1">
      <alignment horizontal="center" vertical="center" wrapText="1"/>
      <protection/>
    </xf>
    <xf numFmtId="0" fontId="8" fillId="0" borderId="1" xfId="766" applyNumberFormat="1" applyFont="1" applyFill="1" applyBorder="1" applyAlignment="1">
      <alignment horizontal="center" vertical="center"/>
      <protection/>
    </xf>
    <xf numFmtId="0" fontId="8" fillId="0" borderId="1" xfId="766" applyNumberFormat="1" applyFont="1" applyFill="1" applyBorder="1" applyAlignment="1">
      <alignment horizontal="center" vertical="center" wrapText="1"/>
      <protection/>
    </xf>
    <xf numFmtId="0" fontId="0" fillId="0" borderId="1" xfId="766" applyNumberFormat="1" applyFont="1" applyFill="1" applyBorder="1" applyAlignment="1">
      <alignment vertical="center"/>
      <protection/>
    </xf>
    <xf numFmtId="0" fontId="0" fillId="0" borderId="1" xfId="766" applyNumberFormat="1" applyFont="1" applyFill="1" applyBorder="1" applyAlignment="1">
      <alignment horizontal="left" vertical="center" wrapText="1"/>
      <protection/>
    </xf>
    <xf numFmtId="0" fontId="1" fillId="0" borderId="0" xfId="0" applyNumberFormat="1" applyFont="1" applyBorder="1" applyAlignment="1">
      <alignment horizontal="right" vertical="center"/>
    </xf>
    <xf numFmtId="0" fontId="8" fillId="0" borderId="39" xfId="766" applyNumberFormat="1" applyFont="1" applyFill="1" applyBorder="1" applyAlignment="1">
      <alignment horizontal="center" vertical="center" wrapText="1"/>
      <protection/>
    </xf>
    <xf numFmtId="0" fontId="8" fillId="0" borderId="35" xfId="766" applyNumberFormat="1" applyFont="1" applyFill="1" applyBorder="1" applyAlignment="1">
      <alignment horizontal="center" vertical="center" wrapText="1"/>
      <protection/>
    </xf>
    <xf numFmtId="0" fontId="8" fillId="0" borderId="35" xfId="766" applyFont="1" applyFill="1" applyBorder="1" applyAlignment="1">
      <alignment horizontal="center" vertical="center" wrapText="1"/>
      <protection/>
    </xf>
    <xf numFmtId="0" fontId="8" fillId="0" borderId="38" xfId="766" applyNumberFormat="1" applyFont="1" applyFill="1" applyBorder="1" applyAlignment="1">
      <alignment horizontal="center" vertical="center" wrapText="1"/>
      <protection/>
    </xf>
    <xf numFmtId="0" fontId="8" fillId="0" borderId="36" xfId="766" applyFont="1" applyFill="1" applyBorder="1" applyAlignment="1">
      <alignment horizontal="center" vertical="center" wrapText="1"/>
      <protection/>
    </xf>
    <xf numFmtId="0" fontId="8" fillId="0" borderId="37" xfId="766" applyFont="1" applyFill="1" applyBorder="1" applyAlignment="1">
      <alignment horizontal="center" vertical="center" wrapText="1"/>
      <protection/>
    </xf>
    <xf numFmtId="0" fontId="8" fillId="0" borderId="36" xfId="766" applyFont="1" applyFill="1" applyBorder="1" applyAlignment="1">
      <alignment horizontal="center" vertical="center"/>
      <protection/>
    </xf>
    <xf numFmtId="166" fontId="8" fillId="0" borderId="37" xfId="766" applyNumberFormat="1" applyFont="1" applyFill="1" applyBorder="1" applyAlignment="1">
      <alignment horizontal="center" vertical="center" wrapText="1"/>
      <protection/>
    </xf>
    <xf numFmtId="0" fontId="0" fillId="0" borderId="36" xfId="766" applyNumberFormat="1" applyFont="1" applyFill="1" applyBorder="1" applyAlignment="1">
      <alignment horizontal="center" vertical="center"/>
      <protection/>
    </xf>
    <xf numFmtId="0" fontId="0" fillId="0" borderId="37" xfId="766" applyNumberFormat="1" applyFont="1" applyFill="1" applyBorder="1" applyAlignment="1">
      <alignment vertical="center" wrapText="1"/>
      <protection/>
    </xf>
    <xf numFmtId="0" fontId="0" fillId="0" borderId="36" xfId="766" applyFont="1" applyFill="1" applyBorder="1" applyAlignment="1">
      <alignment horizontal="center" vertical="center"/>
      <protection/>
    </xf>
    <xf numFmtId="0" fontId="8" fillId="0" borderId="37" xfId="766" applyFont="1" applyFill="1" applyBorder="1" applyAlignment="1">
      <alignment horizontal="left" vertical="center"/>
      <protection/>
    </xf>
    <xf numFmtId="0" fontId="0" fillId="0" borderId="37" xfId="766" applyFont="1" applyFill="1" applyBorder="1" applyAlignment="1">
      <alignment vertical="center"/>
      <protection/>
    </xf>
    <xf numFmtId="0" fontId="8" fillId="0" borderId="37" xfId="766" applyFont="1" applyFill="1" applyBorder="1" applyAlignment="1">
      <alignment vertical="center"/>
      <protection/>
    </xf>
    <xf numFmtId="0" fontId="0" fillId="0" borderId="40" xfId="766" applyNumberFormat="1" applyFont="1" applyFill="1" applyBorder="1" applyAlignment="1">
      <alignment horizontal="center" vertical="center"/>
      <protection/>
    </xf>
    <xf numFmtId="0" fontId="0" fillId="0" borderId="41" xfId="766" applyNumberFormat="1" applyFont="1" applyFill="1" applyBorder="1" applyAlignment="1">
      <alignment vertical="center"/>
      <protection/>
    </xf>
    <xf numFmtId="0" fontId="8" fillId="0" borderId="42" xfId="766" applyFont="1" applyFill="1" applyBorder="1" applyAlignment="1">
      <alignment vertical="center"/>
      <protection/>
    </xf>
    <xf numFmtId="166" fontId="8" fillId="0" borderId="1" xfId="614" applyNumberFormat="1" applyFont="1" applyFill="1" applyBorder="1" applyAlignment="1">
      <alignment horizontal="right" vertical="center"/>
    </xf>
    <xf numFmtId="166" fontId="0" fillId="0" borderId="1" xfId="766" applyNumberFormat="1" applyFont="1" applyFill="1" applyBorder="1" applyAlignment="1">
      <alignment horizontal="right" vertical="center"/>
      <protection/>
    </xf>
    <xf numFmtId="166" fontId="0" fillId="0" borderId="1" xfId="614" applyNumberFormat="1" applyFont="1" applyFill="1" applyBorder="1" applyAlignment="1">
      <alignment horizontal="right" vertical="center"/>
    </xf>
    <xf numFmtId="166" fontId="0" fillId="0" borderId="41" xfId="766" applyNumberFormat="1" applyFont="1" applyFill="1" applyBorder="1" applyAlignment="1">
      <alignment horizontal="right" vertical="center"/>
      <protection/>
    </xf>
    <xf numFmtId="166" fontId="0" fillId="0" borderId="41" xfId="614" applyNumberFormat="1" applyFont="1" applyFill="1" applyBorder="1" applyAlignment="1">
      <alignment horizontal="right" vertical="center"/>
    </xf>
  </cellXfs>
  <cellStyles count="94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x0001_" xfId="15"/>
    <cellStyle name="          &#13;&#10;shell=progman.exe&#13;&#10;m" xfId="16"/>
    <cellStyle name="#,##0" xfId="17"/>
    <cellStyle name="??" xfId="18"/>
    <cellStyle name="?? [0.00]_      " xfId="19"/>
    <cellStyle name="?? [0]" xfId="20"/>
    <cellStyle name="?_x001D_??%U©÷u&amp;H©÷9_x0008_? s&#10;_x0007__x0001__x0001_" xfId="21"/>
    <cellStyle name="???? [0.00]_      " xfId="22"/>
    <cellStyle name="????_      " xfId="23"/>
    <cellStyle name="???[0]_?? DI" xfId="24"/>
    <cellStyle name="???_?? DI" xfId="25"/>
    <cellStyle name="??[0]_BRE" xfId="26"/>
    <cellStyle name="??_      " xfId="27"/>
    <cellStyle name="??A? [0]_laroux_1_¢¬???¢â? " xfId="28"/>
    <cellStyle name="??A?_laroux_1_¢¬???¢â? " xfId="29"/>
    <cellStyle name="?¡±¢¥?_?¨ù??¢´¢¥_¢¬???¢â? " xfId="30"/>
    <cellStyle name="_x0001_?¶æµ_x001B_ºß­ " xfId="31"/>
    <cellStyle name="_x0001_?¶æµ_x001B_ºß­_" xfId="32"/>
    <cellStyle name="?ðÇ%U?&amp;H?_x0008_?s&#10;_x0007__x0001__x0001_" xfId="33"/>
    <cellStyle name="_x0001_\Ô" xfId="34"/>
    <cellStyle name="_Bang Chi tieu (2)" xfId="35"/>
    <cellStyle name="_Book1" xfId="36"/>
    <cellStyle name="_Book1_1" xfId="37"/>
    <cellStyle name="_Book1_Book1" xfId="38"/>
    <cellStyle name="_Cau Phu Phuong" xfId="39"/>
    <cellStyle name="_Goi 1 A tham tra" xfId="40"/>
    <cellStyle name="_Goi 2- My Ly Ban trinh" xfId="41"/>
    <cellStyle name="_KL Dap BCua" xfId="42"/>
    <cellStyle name="_KT (2)" xfId="43"/>
    <cellStyle name="_KT (2)_1" xfId="44"/>
    <cellStyle name="_KT (2)_2" xfId="45"/>
    <cellStyle name="_KT (2)_2_TG-TH" xfId="46"/>
    <cellStyle name="_KT (2)_3" xfId="47"/>
    <cellStyle name="_KT (2)_3_TG-TH" xfId="48"/>
    <cellStyle name="_KT (2)_4" xfId="49"/>
    <cellStyle name="_KT (2)_4_TG-TH" xfId="50"/>
    <cellStyle name="_KT (2)_5" xfId="51"/>
    <cellStyle name="_KT (2)_TG-TH" xfId="52"/>
    <cellStyle name="_KT_TG" xfId="53"/>
    <cellStyle name="_KT_TG_1" xfId="54"/>
    <cellStyle name="_KT_TG_2" xfId="55"/>
    <cellStyle name="_KT_TG_3" xfId="56"/>
    <cellStyle name="_KT_TG_4" xfId="57"/>
    <cellStyle name="_TG-TH" xfId="58"/>
    <cellStyle name="_TG-TH_1" xfId="59"/>
    <cellStyle name="_TG-TH_2" xfId="60"/>
    <cellStyle name="_TG-TH_3" xfId="61"/>
    <cellStyle name="_TG-TH_4" xfId="62"/>
    <cellStyle name="_ÿÿÿÿÿ" xfId="63"/>
    <cellStyle name="~1" xfId="64"/>
    <cellStyle name="_x0001_¨c^ " xfId="65"/>
    <cellStyle name="_x0001_¨c^[" xfId="66"/>
    <cellStyle name="_x0001_¨c^_" xfId="67"/>
    <cellStyle name="_x0001_¨Œc^ " xfId="68"/>
    <cellStyle name="_x0001_¨Œc^[" xfId="69"/>
    <cellStyle name="_x0001_¨Œc^_" xfId="70"/>
    <cellStyle name="’Ê‰Ý [0.00]_laroux" xfId="71"/>
    <cellStyle name="’Ê‰Ý_laroux" xfId="72"/>
    <cellStyle name="_x0001_µÑTÖ " xfId="73"/>
    <cellStyle name="_x0001_µÑTÖ_" xfId="74"/>
    <cellStyle name="•W?_¯–ì" xfId="75"/>
    <cellStyle name="•W_¯–ì" xfId="76"/>
    <cellStyle name="•W€_’·Šú‰p•¶" xfId="77"/>
    <cellStyle name="0" xfId="78"/>
    <cellStyle name="0.0" xfId="79"/>
    <cellStyle name="0.00" xfId="80"/>
    <cellStyle name="1" xfId="81"/>
    <cellStyle name="1_A che do KS +chi BQL" xfId="82"/>
    <cellStyle name="1_BANG CAM COC GPMB 8km" xfId="83"/>
    <cellStyle name="1_bang tinh tai trong" xfId="84"/>
    <cellStyle name="1_Bang tong hop khoi luong" xfId="85"/>
    <cellStyle name="1_Book1" xfId="86"/>
    <cellStyle name="1_Book1_1" xfId="87"/>
    <cellStyle name="1_Book1_Book1" xfId="88"/>
    <cellStyle name="1_Book1_CAU XOP XANG II(su­a)" xfId="89"/>
    <cellStyle name="1_Book1_Dieu phoi dat goi 1" xfId="90"/>
    <cellStyle name="1_Book1_Dieu phoi dat goi 2" xfId="91"/>
    <cellStyle name="1_Book1_DT Kha thi ngay 11-2-06" xfId="92"/>
    <cellStyle name="1_Book1_DT ngay 04-01-2006" xfId="93"/>
    <cellStyle name="1_Book1_DT ngay 11-4-2006" xfId="94"/>
    <cellStyle name="1_Book1_DT ngay 15-11-05" xfId="95"/>
    <cellStyle name="1_Book1_Du toan KT-TCsua theo TT 03 - YC 471" xfId="96"/>
    <cellStyle name="1_Book1_Du toan Phuong lam" xfId="97"/>
    <cellStyle name="1_Book1_Du toan QL 27 (23-12-2005)" xfId="98"/>
    <cellStyle name="1_Book1_DuAnKT ngay 11-2-2006" xfId="99"/>
    <cellStyle name="1_Book1_Goi 1" xfId="100"/>
    <cellStyle name="1_Book1_Goi thau so 2 (20-6-2006)" xfId="101"/>
    <cellStyle name="1_Book1_Goi02(25-05-2006)" xfId="102"/>
    <cellStyle name="1_Book1_K C N - HUNG DONG L.NHUA" xfId="103"/>
    <cellStyle name="1_Book1_Khoi luong 3b" xfId="104"/>
    <cellStyle name="1_Book1_Khoi Luong Hoang Truong - Hoang Phu" xfId="105"/>
    <cellStyle name="1_Book1_Muong TL" xfId="106"/>
    <cellStyle name="1_Book1_Tuyen so 1-Km0+00 - Km0+852.56" xfId="107"/>
    <cellStyle name="1_C" xfId="108"/>
    <cellStyle name="1_Cau Hua Trai (TT 04)" xfId="109"/>
    <cellStyle name="1_Cau Thanh Ha 1" xfId="110"/>
    <cellStyle name="1_Cau thuy dien Ban La (Cu Anh)" xfId="111"/>
    <cellStyle name="1_CAU XOP XANG II(su­a)" xfId="112"/>
    <cellStyle name="1_Chi phi KS" xfId="113"/>
    <cellStyle name="1_cong" xfId="114"/>
    <cellStyle name="1_Dakt-Cau tinh Hua Phan" xfId="115"/>
    <cellStyle name="1_DIEN" xfId="116"/>
    <cellStyle name="1_Dieu phoi dat goi 1" xfId="117"/>
    <cellStyle name="1_Dieu phoi dat goi 2" xfId="118"/>
    <cellStyle name="1_Dinh muc thiet ke" xfId="119"/>
    <cellStyle name="1_DONGIA" xfId="120"/>
    <cellStyle name="1_DT Kha thi ngay 11-2-06" xfId="121"/>
    <cellStyle name="1_DT KT ngay 10-9-2005" xfId="122"/>
    <cellStyle name="1_DT ngay 04-01-2006" xfId="123"/>
    <cellStyle name="1_DT ngay 11-4-2006" xfId="124"/>
    <cellStyle name="1_DT ngay 15-11-05" xfId="125"/>
    <cellStyle name="1_DTXL goi 11(20-9-05)" xfId="126"/>
    <cellStyle name="1_du toan" xfId="127"/>
    <cellStyle name="1_du toan (03-11-05)" xfId="128"/>
    <cellStyle name="1_Du toan (12-05-2005) Tham dinh" xfId="129"/>
    <cellStyle name="1_Du toan (23-05-2005) Tham dinh" xfId="130"/>
    <cellStyle name="1_Du toan (5 - 04 - 2004)" xfId="131"/>
    <cellStyle name="1_Du toan (6-3-2005)" xfId="132"/>
    <cellStyle name="1_Du toan (Ban A)" xfId="133"/>
    <cellStyle name="1_Du toan (ngay 13 - 07 - 2004)" xfId="134"/>
    <cellStyle name="1_Du toan 558 (Km17+508.12 - Km 22)" xfId="135"/>
    <cellStyle name="1_Du toan bo sung (11-2004)" xfId="136"/>
    <cellStyle name="1_Du toan Goi 1" xfId="137"/>
    <cellStyle name="1_du toan goi 12" xfId="138"/>
    <cellStyle name="1_Du toan Goi 2" xfId="139"/>
    <cellStyle name="1_Du toan KT-TCsua theo TT 03 - YC 471" xfId="140"/>
    <cellStyle name="1_Du toan ngay (28-10-2005)" xfId="141"/>
    <cellStyle name="1_Du toan ngay 1-9-2004 (version 1)" xfId="142"/>
    <cellStyle name="1_Du toan Phuong lam" xfId="143"/>
    <cellStyle name="1_Du toan QL 27 (23-12-2005)" xfId="144"/>
    <cellStyle name="1_DuAnKT ngay 11-2-2006" xfId="145"/>
    <cellStyle name="1_Gia_VL cau-JIBIC-Ha-tinh" xfId="146"/>
    <cellStyle name="1_Gia_VLQL48_duyet " xfId="147"/>
    <cellStyle name="1_goi 1" xfId="148"/>
    <cellStyle name="1_Goi 1 (TT04)" xfId="149"/>
    <cellStyle name="1_goi 1 duyet theo luong mo (an)" xfId="150"/>
    <cellStyle name="1_Goi 1_1" xfId="151"/>
    <cellStyle name="1_Goi so 1" xfId="152"/>
    <cellStyle name="1_Goi thau so 2 (20-6-2006)" xfId="153"/>
    <cellStyle name="1_Goi02(25-05-2006)" xfId="154"/>
    <cellStyle name="1_Goi1N206" xfId="155"/>
    <cellStyle name="1_Goi2N206" xfId="156"/>
    <cellStyle name="1_Goi4N216" xfId="157"/>
    <cellStyle name="1_Goi5N216" xfId="158"/>
    <cellStyle name="1_Hoi Song" xfId="159"/>
    <cellStyle name="1_HT-LO" xfId="160"/>
    <cellStyle name="1_Khoi luong" xfId="161"/>
    <cellStyle name="1_Khoi luong 3b" xfId="162"/>
    <cellStyle name="1_Khoi luong doan 1" xfId="163"/>
    <cellStyle name="1_Khoi Luong Hoang Truong - Hoang Phu" xfId="164"/>
    <cellStyle name="1_Kl6-6-05" xfId="165"/>
    <cellStyle name="1_Klnutgiao" xfId="166"/>
    <cellStyle name="1_KLPA2s" xfId="167"/>
    <cellStyle name="1_KlQdinhduyet" xfId="168"/>
    <cellStyle name="1_KlQL4goi5KCS" xfId="169"/>
    <cellStyle name="1_Kltayth" xfId="170"/>
    <cellStyle name="1_KltaythQDduyet" xfId="171"/>
    <cellStyle name="1_Kluong4-2004" xfId="172"/>
    <cellStyle name="1_Luong A6" xfId="173"/>
    <cellStyle name="1_maugiacotaluy" xfId="174"/>
    <cellStyle name="1_My Thanh Son Thanh" xfId="175"/>
    <cellStyle name="1_Nhom I" xfId="176"/>
    <cellStyle name="1_Project N.Du" xfId="177"/>
    <cellStyle name="1_Project N.Du.dien" xfId="178"/>
    <cellStyle name="1_Project QL4" xfId="179"/>
    <cellStyle name="1_Project QL4 goi 7" xfId="180"/>
    <cellStyle name="1_Project QL4 goi5" xfId="181"/>
    <cellStyle name="1_Project QL4 goi8" xfId="182"/>
    <cellStyle name="1_QL1A-SUA2005" xfId="183"/>
    <cellStyle name="1_Sheet1" xfId="184"/>
    <cellStyle name="1_SUA MAI23" xfId="185"/>
    <cellStyle name="1_SuoiTon" xfId="186"/>
    <cellStyle name="1_t" xfId="187"/>
    <cellStyle name="1_Tay THoa" xfId="188"/>
    <cellStyle name="1_Tong hop DT dieu chinh duong 38-95" xfId="189"/>
    <cellStyle name="1_Tong hop khoi luong duong 557 (30-5-2006)" xfId="190"/>
    <cellStyle name="1_Tong muc dau tu" xfId="191"/>
    <cellStyle name="1_TRUNG PMU 5" xfId="192"/>
    <cellStyle name="1_Tuyen so 1-Km0+00 - Km0+852.56" xfId="193"/>
    <cellStyle name="1_VatLieu 3 cau -NA" xfId="194"/>
    <cellStyle name="1_ÿÿÿÿÿ" xfId="195"/>
    <cellStyle name="1_ÿÿÿÿÿ_1" xfId="196"/>
    <cellStyle name="1_ÿÿÿÿÿ_Book1" xfId="197"/>
    <cellStyle name="1_ÿÿÿÿÿ_Tong hop DT dieu chinh duong 38-95" xfId="198"/>
    <cellStyle name="_x0001_1¼„½(" xfId="199"/>
    <cellStyle name="_x0001_1¼½(" xfId="200"/>
    <cellStyle name="¹éºÐÀ²_      " xfId="201"/>
    <cellStyle name="2" xfId="202"/>
    <cellStyle name="2_A che do KS +chi BQL" xfId="203"/>
    <cellStyle name="2_BANG CAM COC GPMB 8km" xfId="204"/>
    <cellStyle name="2_bang tinh tai trong" xfId="205"/>
    <cellStyle name="2_Bang tong hop khoi luong" xfId="206"/>
    <cellStyle name="2_Book1" xfId="207"/>
    <cellStyle name="2_Book1_1" xfId="208"/>
    <cellStyle name="2_Book1_Book1" xfId="209"/>
    <cellStyle name="2_Book1_CAU XOP XANG II(su­a)" xfId="210"/>
    <cellStyle name="2_Book1_Dieu phoi dat goi 1" xfId="211"/>
    <cellStyle name="2_Book1_Dieu phoi dat goi 2" xfId="212"/>
    <cellStyle name="2_Book1_DT Kha thi ngay 11-2-06" xfId="213"/>
    <cellStyle name="2_Book1_DT ngay 04-01-2006" xfId="214"/>
    <cellStyle name="2_Book1_DT ngay 11-4-2006" xfId="215"/>
    <cellStyle name="2_Book1_DT ngay 15-11-05" xfId="216"/>
    <cellStyle name="2_Book1_Du toan KT-TCsua theo TT 03 - YC 471" xfId="217"/>
    <cellStyle name="2_Book1_Du toan Phuong lam" xfId="218"/>
    <cellStyle name="2_Book1_Du toan QL 27 (23-12-2005)" xfId="219"/>
    <cellStyle name="2_Book1_DuAnKT ngay 11-2-2006" xfId="220"/>
    <cellStyle name="2_Book1_Goi 1" xfId="221"/>
    <cellStyle name="2_Book1_Goi thau so 2 (20-6-2006)" xfId="222"/>
    <cellStyle name="2_Book1_Goi02(25-05-2006)" xfId="223"/>
    <cellStyle name="2_Book1_K C N - HUNG DONG L.NHUA" xfId="224"/>
    <cellStyle name="2_Book1_Khoi luong 3b" xfId="225"/>
    <cellStyle name="2_Book1_Khoi Luong Hoang Truong - Hoang Phu" xfId="226"/>
    <cellStyle name="2_Book1_Muong TL" xfId="227"/>
    <cellStyle name="2_Book1_Tuyen so 1-Km0+00 - Km0+852.56" xfId="228"/>
    <cellStyle name="2_C" xfId="229"/>
    <cellStyle name="2_Cau Hua Trai (TT 04)" xfId="230"/>
    <cellStyle name="2_Cau Thanh Ha 1" xfId="231"/>
    <cellStyle name="2_Cau thuy dien Ban La (Cu Anh)" xfId="232"/>
    <cellStyle name="2_CAU XOP XANG II(su­a)" xfId="233"/>
    <cellStyle name="2_Chi phi KS" xfId="234"/>
    <cellStyle name="2_cong" xfId="235"/>
    <cellStyle name="2_Dakt-Cau tinh Hua Phan" xfId="236"/>
    <cellStyle name="2_DIEN" xfId="237"/>
    <cellStyle name="2_Dieu phoi dat goi 1" xfId="238"/>
    <cellStyle name="2_Dieu phoi dat goi 2" xfId="239"/>
    <cellStyle name="2_Dinh muc thiet ke" xfId="240"/>
    <cellStyle name="2_DONGIA" xfId="241"/>
    <cellStyle name="2_DT Kha thi ngay 11-2-06" xfId="242"/>
    <cellStyle name="2_DT KT ngay 10-9-2005" xfId="243"/>
    <cellStyle name="2_DT ngay 04-01-2006" xfId="244"/>
    <cellStyle name="2_DT ngay 11-4-2006" xfId="245"/>
    <cellStyle name="2_DT ngay 15-11-05" xfId="246"/>
    <cellStyle name="2_DTXL goi 11(20-9-05)" xfId="247"/>
    <cellStyle name="2_du toan" xfId="248"/>
    <cellStyle name="2_du toan (03-11-05)" xfId="249"/>
    <cellStyle name="2_Du toan (12-05-2005) Tham dinh" xfId="250"/>
    <cellStyle name="2_Du toan (23-05-2005) Tham dinh" xfId="251"/>
    <cellStyle name="2_Du toan (5 - 04 - 2004)" xfId="252"/>
    <cellStyle name="2_Du toan (6-3-2005)" xfId="253"/>
    <cellStyle name="2_Du toan (Ban A)" xfId="254"/>
    <cellStyle name="2_Du toan (ngay 13 - 07 - 2004)" xfId="255"/>
    <cellStyle name="2_Du toan 558 (Km17+508.12 - Km 22)" xfId="256"/>
    <cellStyle name="2_Du toan bo sung (11-2004)" xfId="257"/>
    <cellStyle name="2_Du toan Goi 1" xfId="258"/>
    <cellStyle name="2_du toan goi 12" xfId="259"/>
    <cellStyle name="2_Du toan Goi 2" xfId="260"/>
    <cellStyle name="2_Du toan KT-TCsua theo TT 03 - YC 471" xfId="261"/>
    <cellStyle name="2_Du toan ngay (28-10-2005)" xfId="262"/>
    <cellStyle name="2_Du toan ngay 1-9-2004 (version 1)" xfId="263"/>
    <cellStyle name="2_Du toan Phuong lam" xfId="264"/>
    <cellStyle name="2_Du toan QL 27 (23-12-2005)" xfId="265"/>
    <cellStyle name="2_DuAnKT ngay 11-2-2006" xfId="266"/>
    <cellStyle name="2_Gia_VL cau-JIBIC-Ha-tinh" xfId="267"/>
    <cellStyle name="2_Gia_VLQL48_duyet " xfId="268"/>
    <cellStyle name="2_goi 1" xfId="269"/>
    <cellStyle name="2_Goi 1 (TT04)" xfId="270"/>
    <cellStyle name="2_goi 1 duyet theo luong mo (an)" xfId="271"/>
    <cellStyle name="2_Goi 1_1" xfId="272"/>
    <cellStyle name="2_Goi so 1" xfId="273"/>
    <cellStyle name="2_Goi thau so 2 (20-6-2006)" xfId="274"/>
    <cellStyle name="2_Goi02(25-05-2006)" xfId="275"/>
    <cellStyle name="2_Goi1N206" xfId="276"/>
    <cellStyle name="2_Goi2N206" xfId="277"/>
    <cellStyle name="2_Goi4N216" xfId="278"/>
    <cellStyle name="2_Goi5N216" xfId="279"/>
    <cellStyle name="2_Hoi Song" xfId="280"/>
    <cellStyle name="2_HT-LO" xfId="281"/>
    <cellStyle name="2_Khoi luong" xfId="282"/>
    <cellStyle name="2_Khoi luong 3b" xfId="283"/>
    <cellStyle name="2_Khoi luong doan 1" xfId="284"/>
    <cellStyle name="2_Khoi Luong Hoang Truong - Hoang Phu" xfId="285"/>
    <cellStyle name="2_Kl6-6-05" xfId="286"/>
    <cellStyle name="2_Klnutgiao" xfId="287"/>
    <cellStyle name="2_KLPA2s" xfId="288"/>
    <cellStyle name="2_KlQdinhduyet" xfId="289"/>
    <cellStyle name="2_KlQL4goi5KCS" xfId="290"/>
    <cellStyle name="2_Kltayth" xfId="291"/>
    <cellStyle name="2_KltaythQDduyet" xfId="292"/>
    <cellStyle name="2_Kluong4-2004" xfId="293"/>
    <cellStyle name="2_Luong A6" xfId="294"/>
    <cellStyle name="2_maugiacotaluy" xfId="295"/>
    <cellStyle name="2_My Thanh Son Thanh" xfId="296"/>
    <cellStyle name="2_Nhom I" xfId="297"/>
    <cellStyle name="2_Project N.Du" xfId="298"/>
    <cellStyle name="2_Project N.Du.dien" xfId="299"/>
    <cellStyle name="2_Project QL4" xfId="300"/>
    <cellStyle name="2_Project QL4 goi 7" xfId="301"/>
    <cellStyle name="2_Project QL4 goi5" xfId="302"/>
    <cellStyle name="2_Project QL4 goi8" xfId="303"/>
    <cellStyle name="2_QL1A-SUA2005" xfId="304"/>
    <cellStyle name="2_Sheet1" xfId="305"/>
    <cellStyle name="2_SUA MAI23" xfId="306"/>
    <cellStyle name="2_SuoiTon" xfId="307"/>
    <cellStyle name="2_t" xfId="308"/>
    <cellStyle name="2_Tay THoa" xfId="309"/>
    <cellStyle name="2_Tong hop DT dieu chinh duong 38-95" xfId="310"/>
    <cellStyle name="2_Tong hop khoi luong duong 557 (30-5-2006)" xfId="311"/>
    <cellStyle name="2_Tong muc dau tu" xfId="312"/>
    <cellStyle name="2_TRUNG PMU 5" xfId="313"/>
    <cellStyle name="2_Tuyen so 1-Km0+00 - Km0+852.56" xfId="314"/>
    <cellStyle name="2_VatLieu 3 cau -NA" xfId="315"/>
    <cellStyle name="2_ÿÿÿÿÿ" xfId="316"/>
    <cellStyle name="2_ÿÿÿÿÿ_1" xfId="317"/>
    <cellStyle name="2_ÿÿÿÿÿ_Book1" xfId="318"/>
    <cellStyle name="2_ÿÿÿÿÿ_Tong hop DT dieu chinh duong 38-95" xfId="319"/>
    <cellStyle name="20" xfId="320"/>
    <cellStyle name="20% - Accent1" xfId="321"/>
    <cellStyle name="20% - Accent2" xfId="322"/>
    <cellStyle name="20% - Accent3" xfId="323"/>
    <cellStyle name="20% - Accent4" xfId="324"/>
    <cellStyle name="20% - Accent5" xfId="325"/>
    <cellStyle name="20% - Accent6" xfId="326"/>
    <cellStyle name="3" xfId="327"/>
    <cellStyle name="3_A che do KS +chi BQL" xfId="328"/>
    <cellStyle name="3_BANG CAM COC GPMB 8km" xfId="329"/>
    <cellStyle name="3_bang tinh tai trong" xfId="330"/>
    <cellStyle name="3_Bang tong hop khoi luong" xfId="331"/>
    <cellStyle name="3_Book1" xfId="332"/>
    <cellStyle name="3_Book1_1" xfId="333"/>
    <cellStyle name="3_Book1_Book1" xfId="334"/>
    <cellStyle name="3_Book1_CAU XOP XANG II(su­a)" xfId="335"/>
    <cellStyle name="3_Book1_Dieu phoi dat goi 1" xfId="336"/>
    <cellStyle name="3_Book1_Dieu phoi dat goi 2" xfId="337"/>
    <cellStyle name="3_Book1_DT Kha thi ngay 11-2-06" xfId="338"/>
    <cellStyle name="3_Book1_DT ngay 04-01-2006" xfId="339"/>
    <cellStyle name="3_Book1_DT ngay 11-4-2006" xfId="340"/>
    <cellStyle name="3_Book1_DT ngay 15-11-05" xfId="341"/>
    <cellStyle name="3_Book1_Du toan KT-TCsua theo TT 03 - YC 471" xfId="342"/>
    <cellStyle name="3_Book1_Du toan Phuong lam" xfId="343"/>
    <cellStyle name="3_Book1_Du toan QL 27 (23-12-2005)" xfId="344"/>
    <cellStyle name="3_Book1_DuAnKT ngay 11-2-2006" xfId="345"/>
    <cellStyle name="3_Book1_Goi 1" xfId="346"/>
    <cellStyle name="3_Book1_Goi thau so 2 (20-6-2006)" xfId="347"/>
    <cellStyle name="3_Book1_Goi02(25-05-2006)" xfId="348"/>
    <cellStyle name="3_Book1_K C N - HUNG DONG L.NHUA" xfId="349"/>
    <cellStyle name="3_Book1_Khoi luong 3b" xfId="350"/>
    <cellStyle name="3_Book1_Khoi Luong Hoang Truong - Hoang Phu" xfId="351"/>
    <cellStyle name="3_Book1_Muong TL" xfId="352"/>
    <cellStyle name="3_Book1_Tuyen so 1-Km0+00 - Km0+852.56" xfId="353"/>
    <cellStyle name="3_C" xfId="354"/>
    <cellStyle name="3_Cau Hua Trai (TT 04)" xfId="355"/>
    <cellStyle name="3_Cau Thanh Ha 1" xfId="356"/>
    <cellStyle name="3_Cau thuy dien Ban La (Cu Anh)" xfId="357"/>
    <cellStyle name="3_CAU XOP XANG II(su­a)" xfId="358"/>
    <cellStyle name="3_Chi phi KS" xfId="359"/>
    <cellStyle name="3_cong" xfId="360"/>
    <cellStyle name="3_Dakt-Cau tinh Hua Phan" xfId="361"/>
    <cellStyle name="3_DIEN" xfId="362"/>
    <cellStyle name="3_Dieu phoi dat goi 1" xfId="363"/>
    <cellStyle name="3_Dieu phoi dat goi 2" xfId="364"/>
    <cellStyle name="3_Dinh muc thiet ke" xfId="365"/>
    <cellStyle name="3_DONGIA" xfId="366"/>
    <cellStyle name="3_DT Kha thi ngay 11-2-06" xfId="367"/>
    <cellStyle name="3_DT KT ngay 10-9-2005" xfId="368"/>
    <cellStyle name="3_DT ngay 04-01-2006" xfId="369"/>
    <cellStyle name="3_DT ngay 11-4-2006" xfId="370"/>
    <cellStyle name="3_DT ngay 15-11-05" xfId="371"/>
    <cellStyle name="3_DTXL goi 11(20-9-05)" xfId="372"/>
    <cellStyle name="3_du toan" xfId="373"/>
    <cellStyle name="3_du toan (03-11-05)" xfId="374"/>
    <cellStyle name="3_Du toan (12-05-2005) Tham dinh" xfId="375"/>
    <cellStyle name="3_Du toan (23-05-2005) Tham dinh" xfId="376"/>
    <cellStyle name="3_Du toan (5 - 04 - 2004)" xfId="377"/>
    <cellStyle name="3_Du toan (6-3-2005)" xfId="378"/>
    <cellStyle name="3_Du toan (Ban A)" xfId="379"/>
    <cellStyle name="3_Du toan (ngay 13 - 07 - 2004)" xfId="380"/>
    <cellStyle name="3_Du toan 558 (Km17+508.12 - Km 22)" xfId="381"/>
    <cellStyle name="3_Du toan bo sung (11-2004)" xfId="382"/>
    <cellStyle name="3_Du toan Goi 1" xfId="383"/>
    <cellStyle name="3_du toan goi 12" xfId="384"/>
    <cellStyle name="3_Du toan Goi 2" xfId="385"/>
    <cellStyle name="3_Du toan KT-TCsua theo TT 03 - YC 471" xfId="386"/>
    <cellStyle name="3_Du toan ngay (28-10-2005)" xfId="387"/>
    <cellStyle name="3_Du toan ngay 1-9-2004 (version 1)" xfId="388"/>
    <cellStyle name="3_Du toan Phuong lam" xfId="389"/>
    <cellStyle name="3_Du toan QL 27 (23-12-2005)" xfId="390"/>
    <cellStyle name="3_DuAnKT ngay 11-2-2006" xfId="391"/>
    <cellStyle name="3_Gia_VL cau-JIBIC-Ha-tinh" xfId="392"/>
    <cellStyle name="3_Gia_VLQL48_duyet " xfId="393"/>
    <cellStyle name="3_goi 1" xfId="394"/>
    <cellStyle name="3_Goi 1 (TT04)" xfId="395"/>
    <cellStyle name="3_goi 1 duyet theo luong mo (an)" xfId="396"/>
    <cellStyle name="3_Goi 1_1" xfId="397"/>
    <cellStyle name="3_Goi so 1" xfId="398"/>
    <cellStyle name="3_Goi thau so 2 (20-6-2006)" xfId="399"/>
    <cellStyle name="3_Goi02(25-05-2006)" xfId="400"/>
    <cellStyle name="3_Goi1N206" xfId="401"/>
    <cellStyle name="3_Goi2N206" xfId="402"/>
    <cellStyle name="3_Goi4N216" xfId="403"/>
    <cellStyle name="3_Goi5N216" xfId="404"/>
    <cellStyle name="3_Hoi Song" xfId="405"/>
    <cellStyle name="3_HT-LO" xfId="406"/>
    <cellStyle name="3_Khoi luong" xfId="407"/>
    <cellStyle name="3_Khoi luong 3b" xfId="408"/>
    <cellStyle name="3_Khoi luong doan 1" xfId="409"/>
    <cellStyle name="3_Khoi Luong Hoang Truong - Hoang Phu" xfId="410"/>
    <cellStyle name="3_Kl6-6-05" xfId="411"/>
    <cellStyle name="3_Klnutgiao" xfId="412"/>
    <cellStyle name="3_KLPA2s" xfId="413"/>
    <cellStyle name="3_KlQdinhduyet" xfId="414"/>
    <cellStyle name="3_KlQL4goi5KCS" xfId="415"/>
    <cellStyle name="3_Kltayth" xfId="416"/>
    <cellStyle name="3_KltaythQDduyet" xfId="417"/>
    <cellStyle name="3_Kluong4-2004" xfId="418"/>
    <cellStyle name="3_Luong A6" xfId="419"/>
    <cellStyle name="3_maugiacotaluy" xfId="420"/>
    <cellStyle name="3_My Thanh Son Thanh" xfId="421"/>
    <cellStyle name="3_Nhom I" xfId="422"/>
    <cellStyle name="3_Project N.Du" xfId="423"/>
    <cellStyle name="3_Project N.Du.dien" xfId="424"/>
    <cellStyle name="3_Project QL4" xfId="425"/>
    <cellStyle name="3_Project QL4 goi 7" xfId="426"/>
    <cellStyle name="3_Project QL4 goi5" xfId="427"/>
    <cellStyle name="3_Project QL4 goi8" xfId="428"/>
    <cellStyle name="3_QL1A-SUA2005" xfId="429"/>
    <cellStyle name="3_Sheet1" xfId="430"/>
    <cellStyle name="3_SUA MAI23" xfId="431"/>
    <cellStyle name="3_SuoiTon" xfId="432"/>
    <cellStyle name="3_t" xfId="433"/>
    <cellStyle name="3_Tay THoa" xfId="434"/>
    <cellStyle name="3_Tong hop DT dieu chinh duong 38-95" xfId="435"/>
    <cellStyle name="3_Tong hop khoi luong duong 557 (30-5-2006)" xfId="436"/>
    <cellStyle name="3_Tong muc dau tu" xfId="437"/>
    <cellStyle name="3_Tuyen so 1-Km0+00 - Km0+852.56" xfId="438"/>
    <cellStyle name="3_VatLieu 3 cau -NA" xfId="439"/>
    <cellStyle name="3_ÿÿÿÿÿ" xfId="440"/>
    <cellStyle name="3_ÿÿÿÿÿ_1" xfId="441"/>
    <cellStyle name="4" xfId="442"/>
    <cellStyle name="4_A che do KS +chi BQL" xfId="443"/>
    <cellStyle name="4_BANG CAM COC GPMB 8km" xfId="444"/>
    <cellStyle name="4_bang tinh tai trong" xfId="445"/>
    <cellStyle name="4_Bang tong hop khoi luong" xfId="446"/>
    <cellStyle name="4_Book1" xfId="447"/>
    <cellStyle name="4_Book1_1" xfId="448"/>
    <cellStyle name="4_Book1_Book1" xfId="449"/>
    <cellStyle name="4_Book1_CAU XOP XANG II(su­a)" xfId="450"/>
    <cellStyle name="4_Book1_Dieu phoi dat goi 1" xfId="451"/>
    <cellStyle name="4_Book1_Dieu phoi dat goi 2" xfId="452"/>
    <cellStyle name="4_Book1_DT Kha thi ngay 11-2-06" xfId="453"/>
    <cellStyle name="4_Book1_DT ngay 04-01-2006" xfId="454"/>
    <cellStyle name="4_Book1_DT ngay 11-4-2006" xfId="455"/>
    <cellStyle name="4_Book1_DT ngay 15-11-05" xfId="456"/>
    <cellStyle name="4_Book1_Du toan KT-TCsua theo TT 03 - YC 471" xfId="457"/>
    <cellStyle name="4_Book1_Du toan Phuong lam" xfId="458"/>
    <cellStyle name="4_Book1_Du toan QL 27 (23-12-2005)" xfId="459"/>
    <cellStyle name="4_Book1_DuAnKT ngay 11-2-2006" xfId="460"/>
    <cellStyle name="4_Book1_Goi 1" xfId="461"/>
    <cellStyle name="4_Book1_Goi thau so 2 (20-6-2006)" xfId="462"/>
    <cellStyle name="4_Book1_Goi02(25-05-2006)" xfId="463"/>
    <cellStyle name="4_Book1_K C N - HUNG DONG L.NHUA" xfId="464"/>
    <cellStyle name="4_Book1_Khoi luong 3b" xfId="465"/>
    <cellStyle name="4_Book1_Khoi Luong Hoang Truong - Hoang Phu" xfId="466"/>
    <cellStyle name="4_Book1_Muong TL" xfId="467"/>
    <cellStyle name="4_Book1_Tuyen so 1-Km0+00 - Km0+852.56" xfId="468"/>
    <cellStyle name="4_C" xfId="469"/>
    <cellStyle name="4_Cau Hua Trai (TT 04)" xfId="470"/>
    <cellStyle name="4_Cau Thanh Ha 1" xfId="471"/>
    <cellStyle name="4_Cau thuy dien Ban La (Cu Anh)" xfId="472"/>
    <cellStyle name="4_CAU XOP XANG II(su­a)" xfId="473"/>
    <cellStyle name="4_Chi phi KS" xfId="474"/>
    <cellStyle name="4_cong" xfId="475"/>
    <cellStyle name="4_Dakt-Cau tinh Hua Phan" xfId="476"/>
    <cellStyle name="4_DIEN" xfId="477"/>
    <cellStyle name="4_Dieu phoi dat goi 1" xfId="478"/>
    <cellStyle name="4_Dieu phoi dat goi 2" xfId="479"/>
    <cellStyle name="4_Dinh muc thiet ke" xfId="480"/>
    <cellStyle name="4_DONGIA" xfId="481"/>
    <cellStyle name="4_DT Kha thi ngay 11-2-06" xfId="482"/>
    <cellStyle name="4_DT KT ngay 10-9-2005" xfId="483"/>
    <cellStyle name="4_DT ngay 04-01-2006" xfId="484"/>
    <cellStyle name="4_DT ngay 11-4-2006" xfId="485"/>
    <cellStyle name="4_DT ngay 15-11-05" xfId="486"/>
    <cellStyle name="4_DTXL goi 11(20-9-05)" xfId="487"/>
    <cellStyle name="4_du toan" xfId="488"/>
    <cellStyle name="4_du toan (03-11-05)" xfId="489"/>
    <cellStyle name="4_Du toan (12-05-2005) Tham dinh" xfId="490"/>
    <cellStyle name="4_Du toan (23-05-2005) Tham dinh" xfId="491"/>
    <cellStyle name="4_Du toan (5 - 04 - 2004)" xfId="492"/>
    <cellStyle name="4_Du toan (6-3-2005)" xfId="493"/>
    <cellStyle name="4_Du toan (Ban A)" xfId="494"/>
    <cellStyle name="4_Du toan (ngay 13 - 07 - 2004)" xfId="495"/>
    <cellStyle name="4_Du toan 558 (Km17+508.12 - Km 22)" xfId="496"/>
    <cellStyle name="4_Du toan bo sung (11-2004)" xfId="497"/>
    <cellStyle name="4_Du toan Goi 1" xfId="498"/>
    <cellStyle name="4_du toan goi 12" xfId="499"/>
    <cellStyle name="4_Du toan Goi 2" xfId="500"/>
    <cellStyle name="4_Du toan KT-TCsua theo TT 03 - YC 471" xfId="501"/>
    <cellStyle name="4_Du toan ngay (28-10-2005)" xfId="502"/>
    <cellStyle name="4_Du toan ngay 1-9-2004 (version 1)" xfId="503"/>
    <cellStyle name="4_Du toan Phuong lam" xfId="504"/>
    <cellStyle name="4_Du toan QL 27 (23-12-2005)" xfId="505"/>
    <cellStyle name="4_DuAnKT ngay 11-2-2006" xfId="506"/>
    <cellStyle name="4_Gia_VL cau-JIBIC-Ha-tinh" xfId="507"/>
    <cellStyle name="4_Gia_VLQL48_duyet " xfId="508"/>
    <cellStyle name="4_goi 1" xfId="509"/>
    <cellStyle name="4_Goi 1 (TT04)" xfId="510"/>
    <cellStyle name="4_goi 1 duyet theo luong mo (an)" xfId="511"/>
    <cellStyle name="4_Goi 1_1" xfId="512"/>
    <cellStyle name="4_Goi so 1" xfId="513"/>
    <cellStyle name="4_Goi thau so 2 (20-6-2006)" xfId="514"/>
    <cellStyle name="4_Goi02(25-05-2006)" xfId="515"/>
    <cellStyle name="4_Goi1N206" xfId="516"/>
    <cellStyle name="4_Goi2N206" xfId="517"/>
    <cellStyle name="4_Goi4N216" xfId="518"/>
    <cellStyle name="4_Goi5N216" xfId="519"/>
    <cellStyle name="4_Hoi Song" xfId="520"/>
    <cellStyle name="4_HT-LO" xfId="521"/>
    <cellStyle name="4_Khoi luong" xfId="522"/>
    <cellStyle name="4_Khoi luong 3b" xfId="523"/>
    <cellStyle name="4_Khoi luong doan 1" xfId="524"/>
    <cellStyle name="4_Khoi Luong Hoang Truong - Hoang Phu" xfId="525"/>
    <cellStyle name="4_Kl6-6-05" xfId="526"/>
    <cellStyle name="4_Klnutgiao" xfId="527"/>
    <cellStyle name="4_KLPA2s" xfId="528"/>
    <cellStyle name="4_KlQdinhduyet" xfId="529"/>
    <cellStyle name="4_KlQL4goi5KCS" xfId="530"/>
    <cellStyle name="4_Kltayth" xfId="531"/>
    <cellStyle name="4_KltaythQDduyet" xfId="532"/>
    <cellStyle name="4_Kluong4-2004" xfId="533"/>
    <cellStyle name="4_Luong A6" xfId="534"/>
    <cellStyle name="4_maugiacotaluy" xfId="535"/>
    <cellStyle name="4_My Thanh Son Thanh" xfId="536"/>
    <cellStyle name="4_Nhom I" xfId="537"/>
    <cellStyle name="4_Project N.Du" xfId="538"/>
    <cellStyle name="4_Project N.Du.dien" xfId="539"/>
    <cellStyle name="4_Project QL4" xfId="540"/>
    <cellStyle name="4_Project QL4 goi 7" xfId="541"/>
    <cellStyle name="4_Project QL4 goi5" xfId="542"/>
    <cellStyle name="4_Project QL4 goi8" xfId="543"/>
    <cellStyle name="4_QL1A-SUA2005" xfId="544"/>
    <cellStyle name="4_Sheet1" xfId="545"/>
    <cellStyle name="4_SUA MAI23" xfId="546"/>
    <cellStyle name="4_SuoiTon" xfId="547"/>
    <cellStyle name="4_t" xfId="548"/>
    <cellStyle name="4_Tay THoa" xfId="549"/>
    <cellStyle name="4_Tong hop DT dieu chinh duong 38-95" xfId="550"/>
    <cellStyle name="4_Tong hop khoi luong duong 557 (30-5-2006)" xfId="551"/>
    <cellStyle name="4_Tong muc dau tu" xfId="552"/>
    <cellStyle name="4_Tuyen so 1-Km0+00 - Km0+852.56" xfId="553"/>
    <cellStyle name="4_VatLieu 3 cau -NA" xfId="554"/>
    <cellStyle name="4_ÿÿÿÿÿ" xfId="555"/>
    <cellStyle name="4_ÿÿÿÿÿ_1" xfId="556"/>
    <cellStyle name="40% - Accent1" xfId="557"/>
    <cellStyle name="40% - Accent2" xfId="558"/>
    <cellStyle name="40% - Accent3" xfId="559"/>
    <cellStyle name="40% - Accent4" xfId="560"/>
    <cellStyle name="40% - Accent5" xfId="561"/>
    <cellStyle name="40% - Accent6" xfId="562"/>
    <cellStyle name="6" xfId="563"/>
    <cellStyle name="60% - Accent1" xfId="564"/>
    <cellStyle name="60% - Accent2" xfId="565"/>
    <cellStyle name="60% - Accent3" xfId="566"/>
    <cellStyle name="60% - Accent4" xfId="567"/>
    <cellStyle name="60% - Accent5" xfId="568"/>
    <cellStyle name="60% - Accent6" xfId="569"/>
    <cellStyle name="_x0001_Å»_x001E_´ " xfId="570"/>
    <cellStyle name="_x0001_Å»_x001E_´_" xfId="571"/>
    <cellStyle name="Accent1" xfId="572"/>
    <cellStyle name="Accent2" xfId="573"/>
    <cellStyle name="Accent3" xfId="574"/>
    <cellStyle name="Accent4" xfId="575"/>
    <cellStyle name="Accent5" xfId="576"/>
    <cellStyle name="Accent6" xfId="577"/>
    <cellStyle name="ÅëÈ­ [0]_      " xfId="578"/>
    <cellStyle name="AeE­ [0]_INQUIRY ¿?¾÷AßAø " xfId="579"/>
    <cellStyle name="ÅëÈ­ [0]_laroux" xfId="580"/>
    <cellStyle name="ÅëÈ­_      " xfId="581"/>
    <cellStyle name="AeE­_INQUIRY ¿?¾÷AßAø " xfId="582"/>
    <cellStyle name="ÅëÈ­_L601CPT" xfId="583"/>
    <cellStyle name="args.style" xfId="584"/>
    <cellStyle name="ÄÞ¸¶ [0]_      " xfId="585"/>
    <cellStyle name="AÞ¸¶ [0]_INQUIRY ¿?¾÷AßAø " xfId="586"/>
    <cellStyle name="ÄÞ¸¶ [0]_L601CPT" xfId="587"/>
    <cellStyle name="ÄÞ¸¶_      " xfId="588"/>
    <cellStyle name="AÞ¸¶_INQUIRY ¿?¾÷AßAø " xfId="589"/>
    <cellStyle name="ÄÞ¸¶_L601CPT" xfId="590"/>
    <cellStyle name="AutoFormat Options" xfId="591"/>
    <cellStyle name="Bad" xfId="592"/>
    <cellStyle name="Bangchu" xfId="593"/>
    <cellStyle name="Body" xfId="594"/>
    <cellStyle name="C?AØ_¿?¾÷CoE² " xfId="595"/>
    <cellStyle name="Ç¥ÁØ_      " xfId="596"/>
    <cellStyle name="C￥AØ_¿μ¾÷CoE² " xfId="597"/>
    <cellStyle name="Ç¥ÁØ_±³°¢¼ö·®" xfId="598"/>
    <cellStyle name="C￥AØ_≫c¾÷ºIº° AN°e " xfId="599"/>
    <cellStyle name="Ç¥ÁØ_°èÈ¹" xfId="600"/>
    <cellStyle name="Calc Currency (0)" xfId="601"/>
    <cellStyle name="Calc Currency (2)" xfId="602"/>
    <cellStyle name="Calc Percent (0)" xfId="603"/>
    <cellStyle name="Calc Percent (1)" xfId="604"/>
    <cellStyle name="Calc Percent (2)" xfId="605"/>
    <cellStyle name="Calc Units (0)" xfId="606"/>
    <cellStyle name="Calc Units (1)" xfId="607"/>
    <cellStyle name="Calc Units (2)" xfId="608"/>
    <cellStyle name="Calculation" xfId="609"/>
    <cellStyle name="category" xfId="610"/>
    <cellStyle name="Cerrency_Sheet2_XANGDAU" xfId="611"/>
    <cellStyle name="Check Cell" xfId="612"/>
    <cellStyle name="Chi phÝ kh¸c_Book1" xfId="613"/>
    <cellStyle name="Comma" xfId="614"/>
    <cellStyle name="Comma  - Style1" xfId="615"/>
    <cellStyle name="Comma  - Style2" xfId="616"/>
    <cellStyle name="Comma  - Style3" xfId="617"/>
    <cellStyle name="Comma  - Style4" xfId="618"/>
    <cellStyle name="Comma  - Style5" xfId="619"/>
    <cellStyle name="Comma  - Style6" xfId="620"/>
    <cellStyle name="Comma  - Style7" xfId="621"/>
    <cellStyle name="Comma  - Style8" xfId="622"/>
    <cellStyle name="Comma [0]" xfId="623"/>
    <cellStyle name="Comma [0] 2" xfId="624"/>
    <cellStyle name="Comma [00]" xfId="625"/>
    <cellStyle name="Comma 2" xfId="626"/>
    <cellStyle name="Comma 3" xfId="627"/>
    <cellStyle name="Comma 4" xfId="628"/>
    <cellStyle name="comma zerodec" xfId="629"/>
    <cellStyle name="Comma0" xfId="630"/>
    <cellStyle name="Copied" xfId="631"/>
    <cellStyle name="Cࡵrrency_Sheet1_PRODUCTĠ" xfId="632"/>
    <cellStyle name="_x0001_CS_x0006_RMO[" xfId="633"/>
    <cellStyle name="_x0001_CS_x0006_RMO_" xfId="634"/>
    <cellStyle name="Currency" xfId="635"/>
    <cellStyle name="Currency [0]" xfId="636"/>
    <cellStyle name="Currency [00]" xfId="637"/>
    <cellStyle name="Currency0" xfId="638"/>
    <cellStyle name="Currency1" xfId="639"/>
    <cellStyle name="D1" xfId="640"/>
    <cellStyle name="Date" xfId="641"/>
    <cellStyle name="Date Short" xfId="642"/>
    <cellStyle name="daude" xfId="643"/>
    <cellStyle name="Dezimal [0]_ALLE_ITEMS_280800_EV_NL" xfId="644"/>
    <cellStyle name="Dezimal_AKE_100N" xfId="645"/>
    <cellStyle name="dgia" xfId="646"/>
    <cellStyle name="_x0001_dÏÈ¹ " xfId="647"/>
    <cellStyle name="_x0001_dÏÈ¹_" xfId="648"/>
    <cellStyle name="Dollar (zero dec)" xfId="649"/>
    <cellStyle name="DuToanBXD" xfId="650"/>
    <cellStyle name="Dziesi?tny [0]_Invoices2001Slovakia" xfId="651"/>
    <cellStyle name="Dziesi?tny_Invoices2001Slovakia" xfId="652"/>
    <cellStyle name="Dziesietny [0]_Invoices2001Slovakia" xfId="653"/>
    <cellStyle name="Dziesiętny [0]_Invoices2001Slovakia" xfId="654"/>
    <cellStyle name="Dziesietny [0]_Invoices2001Slovakia_Book1" xfId="655"/>
    <cellStyle name="Dziesiętny [0]_Invoices2001Slovakia_Book1" xfId="656"/>
    <cellStyle name="Dziesietny [0]_Invoices2001Slovakia_Book1_Tong hop Cac tuyen(9-1-06)" xfId="657"/>
    <cellStyle name="Dziesiętny [0]_Invoices2001Slovakia_Book1_Tong hop Cac tuyen(9-1-06)" xfId="658"/>
    <cellStyle name="Dziesietny [0]_Invoices2001Slovakia_KL K.C mat duong" xfId="659"/>
    <cellStyle name="Dziesiętny [0]_Invoices2001Slovakia_Nhalamviec VTC(25-1-05)" xfId="660"/>
    <cellStyle name="Dziesietny [0]_Invoices2001Slovakia_TDT KHANH HOA" xfId="661"/>
    <cellStyle name="Dziesiętny [0]_Invoices2001Slovakia_TDT KHANH HOA" xfId="662"/>
    <cellStyle name="Dziesietny [0]_Invoices2001Slovakia_TDT KHANH HOA_Tong hop Cac tuyen(9-1-06)" xfId="663"/>
    <cellStyle name="Dziesiętny [0]_Invoices2001Slovakia_TDT KHANH HOA_Tong hop Cac tuyen(9-1-06)" xfId="664"/>
    <cellStyle name="Dziesietny [0]_Invoices2001Slovakia_TDT quangngai" xfId="665"/>
    <cellStyle name="Dziesiętny [0]_Invoices2001Slovakia_TDT quangngai" xfId="666"/>
    <cellStyle name="Dziesietny [0]_Invoices2001Slovakia_Tong hop Cac tuyen(9-1-06)" xfId="667"/>
    <cellStyle name="Dziesietny_Invoices2001Slovakia" xfId="668"/>
    <cellStyle name="Dziesiętny_Invoices2001Slovakia" xfId="669"/>
    <cellStyle name="Dziesietny_Invoices2001Slovakia_Book1" xfId="670"/>
    <cellStyle name="Dziesiętny_Invoices2001Slovakia_Book1" xfId="671"/>
    <cellStyle name="Dziesietny_Invoices2001Slovakia_Book1_Tong hop Cac tuyen(9-1-06)" xfId="672"/>
    <cellStyle name="Dziesiętny_Invoices2001Slovakia_Book1_Tong hop Cac tuyen(9-1-06)" xfId="673"/>
    <cellStyle name="Dziesietny_Invoices2001Slovakia_KL K.C mat duong" xfId="674"/>
    <cellStyle name="Dziesiętny_Invoices2001Slovakia_Nhalamviec VTC(25-1-05)" xfId="675"/>
    <cellStyle name="Dziesietny_Invoices2001Slovakia_TDT KHANH HOA" xfId="676"/>
    <cellStyle name="Dziesiętny_Invoices2001Slovakia_TDT KHANH HOA" xfId="677"/>
    <cellStyle name="Dziesietny_Invoices2001Slovakia_TDT KHANH HOA_Tong hop Cac tuyen(9-1-06)" xfId="678"/>
    <cellStyle name="Dziesiętny_Invoices2001Slovakia_TDT KHANH HOA_Tong hop Cac tuyen(9-1-06)" xfId="679"/>
    <cellStyle name="Dziesietny_Invoices2001Slovakia_TDT quangngai" xfId="680"/>
    <cellStyle name="Dziesiętny_Invoices2001Slovakia_TDT quangngai" xfId="681"/>
    <cellStyle name="Dziesietny_Invoices2001Slovakia_Tong hop Cac tuyen(9-1-06)" xfId="682"/>
    <cellStyle name="e" xfId="683"/>
    <cellStyle name="Enter Currency (0)" xfId="684"/>
    <cellStyle name="Enter Currency (2)" xfId="685"/>
    <cellStyle name="Enter Units (0)" xfId="686"/>
    <cellStyle name="Enter Units (1)" xfId="687"/>
    <cellStyle name="Enter Units (2)" xfId="688"/>
    <cellStyle name="Entered" xfId="689"/>
    <cellStyle name="Euro" xfId="690"/>
    <cellStyle name="Explanatory Text" xfId="691"/>
    <cellStyle name="f" xfId="692"/>
    <cellStyle name="Fixed" xfId="693"/>
    <cellStyle name="Followed Hyperlink" xfId="694"/>
    <cellStyle name="Font Britannic16" xfId="695"/>
    <cellStyle name="Font Britannic18" xfId="696"/>
    <cellStyle name="Font CenturyCond 18" xfId="697"/>
    <cellStyle name="Font Cond20" xfId="698"/>
    <cellStyle name="Font LucidaSans16" xfId="699"/>
    <cellStyle name="Font NewCenturyCond18" xfId="700"/>
    <cellStyle name="Font Ottawa14" xfId="701"/>
    <cellStyle name="Font Ottawa16" xfId="702"/>
    <cellStyle name="GIA-MOI" xfId="703"/>
    <cellStyle name="Good" xfId="704"/>
    <cellStyle name="Grey" xfId="705"/>
    <cellStyle name="H" xfId="706"/>
    <cellStyle name="ha" xfId="707"/>
    <cellStyle name="Head 1" xfId="708"/>
    <cellStyle name="HEADER" xfId="709"/>
    <cellStyle name="Header1" xfId="710"/>
    <cellStyle name="Header2" xfId="711"/>
    <cellStyle name="Heading 1" xfId="712"/>
    <cellStyle name="Heading 2" xfId="713"/>
    <cellStyle name="Heading 3" xfId="714"/>
    <cellStyle name="Heading 4" xfId="715"/>
    <cellStyle name="HEADING1" xfId="716"/>
    <cellStyle name="HEADING2" xfId="717"/>
    <cellStyle name="HEADINGS" xfId="718"/>
    <cellStyle name="HEADINGSTOP" xfId="719"/>
    <cellStyle name="headoption" xfId="720"/>
    <cellStyle name="Hoa-Scholl" xfId="721"/>
    <cellStyle name="Hyperlink" xfId="722"/>
    <cellStyle name="_x0001_í½?" xfId="723"/>
    <cellStyle name="_x0001_íå_x001B_ô " xfId="724"/>
    <cellStyle name="_x0001_íå_x001B_ô_" xfId="725"/>
    <cellStyle name="Input" xfId="726"/>
    <cellStyle name="Input [yellow]" xfId="727"/>
    <cellStyle name="k" xfId="728"/>
    <cellStyle name="khanh" xfId="729"/>
    <cellStyle name="KLBXUNG" xfId="730"/>
    <cellStyle name="Ledger 17 x 11 in" xfId="731"/>
    <cellStyle name="Link Currency (0)" xfId="732"/>
    <cellStyle name="Link Currency (2)" xfId="733"/>
    <cellStyle name="Link Units (0)" xfId="734"/>
    <cellStyle name="Link Units (1)" xfId="735"/>
    <cellStyle name="Link Units (2)" xfId="736"/>
    <cellStyle name="Linked Cell" xfId="737"/>
    <cellStyle name="MAU" xfId="738"/>
    <cellStyle name="Millares [0]_Well Timing" xfId="739"/>
    <cellStyle name="Millares_Well Timing" xfId="740"/>
    <cellStyle name="Milliers [0]_      " xfId="741"/>
    <cellStyle name="Milliers_      " xfId="742"/>
    <cellStyle name="Model" xfId="743"/>
    <cellStyle name="moi" xfId="744"/>
    <cellStyle name="Moneda [0]_Well Timing" xfId="745"/>
    <cellStyle name="Moneda_Well Timing" xfId="746"/>
    <cellStyle name="Monétaire [0]_      " xfId="747"/>
    <cellStyle name="Monétaire_      " xfId="748"/>
    <cellStyle name="n" xfId="749"/>
    <cellStyle name="Neutral" xfId="750"/>
    <cellStyle name="New" xfId="751"/>
    <cellStyle name="New Times Roman" xfId="752"/>
    <cellStyle name="New_DT 2013 (Theo tung noi dung, chinh sach)" xfId="753"/>
    <cellStyle name="no dec" xfId="754"/>
    <cellStyle name="Normal - Style1" xfId="755"/>
    <cellStyle name="Normal - 유형1" xfId="756"/>
    <cellStyle name="Normal 2" xfId="757"/>
    <cellStyle name="Normal 2 2" xfId="758"/>
    <cellStyle name="Normal 3" xfId="759"/>
    <cellStyle name="Normal 4" xfId="760"/>
    <cellStyle name="Normal_182+SNGT 2013 (KTHT)" xfId="761"/>
    <cellStyle name="Normal_Bieu chi tiet cap bu TLP 2012" xfId="762"/>
    <cellStyle name="Normal_DT KP moi truong 2013" xfId="763"/>
    <cellStyle name="Normal_DỰ TOÁN KINH PHÍ CHƯƠNG TRÌNH 925, DTSC CTTL  NĂM 2013" xfId="764"/>
    <cellStyle name="Normal_Sheet1_Du toán kinh phí chương trình 925 năm 2013" xfId="765"/>
    <cellStyle name="Normal_TT Phe chuan DT thu, chi NS nam 2011" xfId="766"/>
    <cellStyle name="Normal_XÂY DỰNG DỰ TOÁN NGUỒN KP SỰ NGHIỆP KINH TẾ  NĂM 2013" xfId="767"/>
    <cellStyle name="Normal1" xfId="768"/>
    <cellStyle name="Normalny_Cennik obowiazuje od 06-08-2001 r (1)" xfId="769"/>
    <cellStyle name="Note" xfId="770"/>
    <cellStyle name="Œ…‹æØ‚è [0.00]_laroux" xfId="771"/>
    <cellStyle name="Œ…‹æØ‚è_laroux" xfId="772"/>
    <cellStyle name="oft Excel]&#13;&#10;Comment=open=/f ‚ðw’è‚·‚é‚ÆAƒ†[ƒU[’è‹`ŠÖ”‚ðŠÖ”“\‚è•t‚¯‚Ìˆê——‚É“o˜^‚·‚é‚±‚Æ‚ª‚Å‚«‚Ü‚·B&#13;&#10;Maximized" xfId="773"/>
    <cellStyle name="oft Excel]&#13;&#10;Comment=The open=/f lines load custom functions into the Paste Function list.&#13;&#10;Maximized=2&#13;&#10;Basics=1&#13;&#10;A" xfId="774"/>
    <cellStyle name="oft Excel]&#13;&#10;Comment=The open=/f lines load custom functions into the Paste Function list.&#13;&#10;Maximized=3&#13;&#10;Basics=1&#13;&#10;A" xfId="775"/>
    <cellStyle name="omma [0]_Mktg Prog" xfId="776"/>
    <cellStyle name="ormal_Sheet1_1" xfId="777"/>
    <cellStyle name="Output" xfId="778"/>
    <cellStyle name="per.style" xfId="779"/>
    <cellStyle name="Percent" xfId="780"/>
    <cellStyle name="Percent [0]" xfId="781"/>
    <cellStyle name="Percent [00]" xfId="782"/>
    <cellStyle name="Percent [2]" xfId="783"/>
    <cellStyle name="PERCENTAGE" xfId="784"/>
    <cellStyle name="PrePop Currency (0)" xfId="785"/>
    <cellStyle name="PrePop Currency (2)" xfId="786"/>
    <cellStyle name="PrePop Units (0)" xfId="787"/>
    <cellStyle name="PrePop Units (1)" xfId="788"/>
    <cellStyle name="PrePop Units (2)" xfId="789"/>
    <cellStyle name="pricing" xfId="790"/>
    <cellStyle name="PSChar" xfId="791"/>
    <cellStyle name="PSHeading" xfId="792"/>
    <cellStyle name="regstoresfromspecstores" xfId="793"/>
    <cellStyle name="RevList" xfId="794"/>
    <cellStyle name="s]&#13;&#10;spooler=yes&#13;&#10;load=&#13;&#10;Beep=yes&#13;&#10;NullPort=None&#13;&#10;BorderWidth=3&#13;&#10;CursorBlinkRate=1200&#13;&#10;DoubleClickSpeed=452&#13;&#10;Programs=co" xfId="795"/>
    <cellStyle name="SAPBEXaggData" xfId="796"/>
    <cellStyle name="SAPBEXaggDataEmph" xfId="797"/>
    <cellStyle name="SAPBEXaggItem" xfId="798"/>
    <cellStyle name="SAPBEXchaText" xfId="799"/>
    <cellStyle name="SAPBEXexcBad7" xfId="800"/>
    <cellStyle name="SAPBEXexcBad8" xfId="801"/>
    <cellStyle name="SAPBEXexcBad9" xfId="802"/>
    <cellStyle name="SAPBEXexcCritical4" xfId="803"/>
    <cellStyle name="SAPBEXexcCritical5" xfId="804"/>
    <cellStyle name="SAPBEXexcCritical6" xfId="805"/>
    <cellStyle name="SAPBEXexcGood1" xfId="806"/>
    <cellStyle name="SAPBEXexcGood2" xfId="807"/>
    <cellStyle name="SAPBEXexcGood3" xfId="808"/>
    <cellStyle name="SAPBEXfilterDrill" xfId="809"/>
    <cellStyle name="SAPBEXfilterItem" xfId="810"/>
    <cellStyle name="SAPBEXfilterText" xfId="811"/>
    <cellStyle name="SAPBEXformats" xfId="812"/>
    <cellStyle name="SAPBEXheaderItem" xfId="813"/>
    <cellStyle name="SAPBEXheaderText" xfId="814"/>
    <cellStyle name="SAPBEXresData" xfId="815"/>
    <cellStyle name="SAPBEXresDataEmph" xfId="816"/>
    <cellStyle name="SAPBEXresItem" xfId="817"/>
    <cellStyle name="SAPBEXstdData" xfId="818"/>
    <cellStyle name="SAPBEXstdDataEmph" xfId="819"/>
    <cellStyle name="SAPBEXstdItem" xfId="820"/>
    <cellStyle name="SAPBEXtitle" xfId="821"/>
    <cellStyle name="SAPBEXundefined" xfId="822"/>
    <cellStyle name="_x0001_sç?" xfId="823"/>
    <cellStyle name="serJet 1200 Series PCL 6" xfId="824"/>
    <cellStyle name="SHADEDSTORES" xfId="825"/>
    <cellStyle name="specstores" xfId="826"/>
    <cellStyle name="Standard_AAbgleich" xfId="827"/>
    <cellStyle name="STTDG" xfId="828"/>
    <cellStyle name="Style 1" xfId="829"/>
    <cellStyle name="Style 10" xfId="830"/>
    <cellStyle name="Style 11" xfId="831"/>
    <cellStyle name="Style 12" xfId="832"/>
    <cellStyle name="Style 13" xfId="833"/>
    <cellStyle name="Style 14" xfId="834"/>
    <cellStyle name="Style 15" xfId="835"/>
    <cellStyle name="Style 16" xfId="836"/>
    <cellStyle name="Style 17" xfId="837"/>
    <cellStyle name="Style 18" xfId="838"/>
    <cellStyle name="Style 19" xfId="839"/>
    <cellStyle name="Style 2" xfId="840"/>
    <cellStyle name="Style 20" xfId="841"/>
    <cellStyle name="Style 21" xfId="842"/>
    <cellStyle name="Style 22" xfId="843"/>
    <cellStyle name="Style 23" xfId="844"/>
    <cellStyle name="Style 3" xfId="845"/>
    <cellStyle name="Style 4" xfId="846"/>
    <cellStyle name="Style 5" xfId="847"/>
    <cellStyle name="Style 6" xfId="848"/>
    <cellStyle name="Style 7" xfId="849"/>
    <cellStyle name="Style 8" xfId="850"/>
    <cellStyle name="Style 9" xfId="851"/>
    <cellStyle name="style_1" xfId="852"/>
    <cellStyle name="subhead" xfId="853"/>
    <cellStyle name="Subtotal" xfId="854"/>
    <cellStyle name="T" xfId="855"/>
    <cellStyle name="T_Book1" xfId="856"/>
    <cellStyle name="T_Book1_1" xfId="857"/>
    <cellStyle name="T_Book1_1_KL Dap BCua" xfId="858"/>
    <cellStyle name="T_Book1_2" xfId="859"/>
    <cellStyle name="T_Book1_bang tinh tai trong" xfId="860"/>
    <cellStyle name="T_Book1_Book1" xfId="861"/>
    <cellStyle name="T_Book1_Book1_1" xfId="862"/>
    <cellStyle name="T_Book1_KL Dap BCua" xfId="863"/>
    <cellStyle name="T_Cau Phu Phuong" xfId="864"/>
    <cellStyle name="T_denbu" xfId="865"/>
    <cellStyle name="T_DT Hop dong bai thai xi" xfId="866"/>
    <cellStyle name="T_Ke-G1" xfId="867"/>
    <cellStyle name="T_Khao satD1" xfId="868"/>
    <cellStyle name="T_QT di chuyen ca phe" xfId="869"/>
    <cellStyle name="Text Indent A" xfId="870"/>
    <cellStyle name="Text Indent B" xfId="871"/>
    <cellStyle name="Text Indent C" xfId="872"/>
    <cellStyle name="th" xfId="873"/>
    <cellStyle name="þ_x001D_ð¤_x000C_¯þ_x0014_&#13;¨þU_x0001_À_x0004_ _x0015__x000F__x0001__x0001_" xfId="874"/>
    <cellStyle name="þ_x001D_ð·_x000C_æþ'&#13;ßþU_x0001_Ø_x0005_ü_x0014__x0007__x0001__x0001_" xfId="875"/>
    <cellStyle name="þ_x001D_ðÇ%Uý—&amp;Hý9_x0008_Ÿ s&#10;_x0007__x0001__x0001_" xfId="876"/>
    <cellStyle name="þ_x001D_ðK_x000C_Fý_x001B_&#13;9ýU_x0001_Ð_x0008_¦)_x0007__x0001__x0001_" xfId="877"/>
    <cellStyle name="thuong-10" xfId="878"/>
    <cellStyle name="thuong-11" xfId="879"/>
    <cellStyle name="Thuyet minh" xfId="880"/>
    <cellStyle name="tit1" xfId="881"/>
    <cellStyle name="tit2" xfId="882"/>
    <cellStyle name="tit3" xfId="883"/>
    <cellStyle name="tit4" xfId="884"/>
    <cellStyle name="Title" xfId="885"/>
    <cellStyle name="TitleBig" xfId="886"/>
    <cellStyle name="TitleCol" xfId="887"/>
    <cellStyle name="TitleSml" xfId="888"/>
    <cellStyle name="TitleTme" xfId="889"/>
    <cellStyle name="Tongcong" xfId="890"/>
    <cellStyle name="Total" xfId="891"/>
    <cellStyle name="TotalGra" xfId="892"/>
    <cellStyle name="trang" xfId="893"/>
    <cellStyle name="viet" xfId="894"/>
    <cellStyle name="viet2" xfId="895"/>
    <cellStyle name="VL" xfId="896"/>
    <cellStyle name="VLB-GTKÕ" xfId="897"/>
    <cellStyle name="Vn Time 13" xfId="898"/>
    <cellStyle name="Vn Time 14" xfId="899"/>
    <cellStyle name="vn_time" xfId="900"/>
    <cellStyle name="vnbo" xfId="901"/>
    <cellStyle name="vnhead1" xfId="902"/>
    <cellStyle name="vnhead2" xfId="903"/>
    <cellStyle name="vnhead3" xfId="904"/>
    <cellStyle name="vnhead4" xfId="905"/>
    <cellStyle name="vntxt1" xfId="906"/>
    <cellStyle name="vntxt2" xfId="907"/>
    <cellStyle name="W_MARINE" xfId="908"/>
    <cellStyle name="Währung [0]_ALLE_ITEMS_280800_EV_NL" xfId="909"/>
    <cellStyle name="Währung_AKE_100N" xfId="910"/>
    <cellStyle name="Walutowy [0]_Invoices2001Slovakia" xfId="911"/>
    <cellStyle name="Walutowy_Invoices2001Slovakia" xfId="912"/>
    <cellStyle name="Warning Text" xfId="913"/>
    <cellStyle name="xan1" xfId="914"/>
    <cellStyle name="xuan" xfId="915"/>
    <cellStyle name="똿뗦먛귟 [0.00]_PRODUCT DETAIL Q1" xfId="916"/>
    <cellStyle name="똿뗦먛귟_PRODUCT DETAIL Q1" xfId="917"/>
    <cellStyle name="믅됞 [0.00]_PRODUCT DETAIL Q1" xfId="918"/>
    <cellStyle name="믅됞_PRODUCT DETAIL Q1" xfId="919"/>
    <cellStyle name="백분율_95" xfId="920"/>
    <cellStyle name="뷭?_BOOKSHIP" xfId="921"/>
    <cellStyle name="안건회계법인" xfId="922"/>
    <cellStyle name="一般_00Q3902REV.1" xfId="923"/>
    <cellStyle name="千分位[0]_00Q3902REV.1" xfId="924"/>
    <cellStyle name="千分位_00Q3902REV.1" xfId="925"/>
    <cellStyle name="콤마 [ - 유형1" xfId="926"/>
    <cellStyle name="콤마 [ - 유형2" xfId="927"/>
    <cellStyle name="콤마 [ - 유형3" xfId="928"/>
    <cellStyle name="콤마 [ - 유형4" xfId="929"/>
    <cellStyle name="콤마 [ - 유형5" xfId="930"/>
    <cellStyle name="콤마 [ - 유형6" xfId="931"/>
    <cellStyle name="콤마 [ - 유형7" xfId="932"/>
    <cellStyle name="콤마 [ - 유형8" xfId="933"/>
    <cellStyle name="콤마 [0]_ 비목별 월별기술 " xfId="934"/>
    <cellStyle name="콤마_ 비목별 월별기술 " xfId="935"/>
    <cellStyle name="통화 [0]_1202" xfId="936"/>
    <cellStyle name="통화_1202" xfId="937"/>
    <cellStyle name="표준_(정보부문)월별인원계획" xfId="938"/>
    <cellStyle name="桁区切り [0.00]_BQ" xfId="939"/>
    <cellStyle name="桁区切り_工費" xfId="940"/>
    <cellStyle name="標準_2110-5" xfId="941"/>
    <cellStyle name="貨幣 [0]_00Q3902REV.1" xfId="942"/>
    <cellStyle name="貨幣[0]_BRE" xfId="943"/>
    <cellStyle name="貨幣_00Q3902REV.1" xfId="944"/>
    <cellStyle name=" [0.00]_ Att. 1- Cover" xfId="945"/>
    <cellStyle name="_ Att. 1- Cover" xfId="946"/>
    <cellStyle name="?_ Att. 1- Cover" xfId="9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quyen\AppData\Local\Temp\03%20Trinh%20TT%20Ban%20KTXH\01%20TT%20phe%20chuan%20DT%20thu,%20chi%20NS%20nam%202016%20(Trinh%20Ban%20KTXH)%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quyen\AppData\Local\Temp\01%20TTr%20phan%20bo%20du%20toan%20thu,%20chi%20NS%20nam%202016%20(Trinh%20HD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uc luc"/>
      <sheetName val="Tong thu NS (1)"/>
      <sheetName val=" Thu DB (chi tiet)"/>
      <sheetName val="Tong chi NS(3)"/>
      <sheetName val="Tong chi 2 câp (4)"/>
      <sheetName val="SNNN (5)"/>
      <sheetName val="SNNN (05a)"/>
      <sheetName val="CT, DA 05b"/>
      <sheetName val="TLP, ND 42 06"/>
      <sheetName val="TLPHI  06a"/>
      <sheetName val="TLPHI  06b"/>
      <sheetName val="Dat lua  06c"/>
      <sheetName val="SNGT 07"/>
      <sheetName val="PTGT 08"/>
      <sheetName val="NQ 115 9"/>
      <sheetName val="SNMT 10"/>
      <sheetName val="GDuc 11"/>
      <sheetName val="YTe 12"/>
      <sheetName val="VH-TH 13"/>
      <sheetName val="NVH 13a"/>
      <sheetName val="DBXH 14"/>
      <sheetName val="QLNN 15"/>
      <sheetName val="Chi ANQP 16"/>
      <sheetName val="Chi khac NS 17"/>
      <sheetName val="Chi NS xa 18"/>
      <sheetName val="Chi QLQNS 19"/>
      <sheetName val="TDKT 20"/>
      <sheetName val="Tiet kiem 10% 21"/>
      <sheetName val="CCTL 22"/>
      <sheetName val="Thu, chi su nghiep 23"/>
      <sheetName val="Bo sung xã "/>
    </sheetNames>
    <sheetDataSet>
      <sheetData sheetId="6">
        <row r="8">
          <cell r="E8">
            <v>361000</v>
          </cell>
        </row>
        <row r="10">
          <cell r="E10">
            <v>110040</v>
          </cell>
        </row>
      </sheetData>
      <sheetData sheetId="19">
        <row r="6">
          <cell r="D6">
            <v>650000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uc luc"/>
      <sheetName val="Tong chi NS(1)"/>
      <sheetName val="LV chi 02"/>
      <sheetName val="SNNN 3"/>
      <sheetName val="SNKT 3a"/>
      <sheetName val="CT,DA3b"/>
      <sheetName val="TLP 4a"/>
      <sheetName val="TLP 4b "/>
      <sheetName val="ND 35 4c"/>
      <sheetName val="SNGT 5"/>
      <sheetName val="PTGTNT 6"/>
      <sheetName val="SNMT 7"/>
      <sheetName val="GDuc 8"/>
      <sheetName val="YTe 9"/>
      <sheetName val="VH-TH 10"/>
      <sheetName val="VH-TH 10a"/>
      <sheetName val="DBXH 11"/>
      <sheetName val="QLNN 12"/>
      <sheetName val="Chi ANQP 13"/>
      <sheetName val="Chi khac NS 14"/>
      <sheetName val="BS xa 15"/>
      <sheetName val="Sheet1"/>
    </sheetNames>
    <sheetDataSet>
      <sheetData sheetId="19">
        <row r="7">
          <cell r="D7">
            <v>90000</v>
          </cell>
        </row>
        <row r="8">
          <cell r="D8">
            <v>80000</v>
          </cell>
        </row>
        <row r="9">
          <cell r="D9">
            <v>30000</v>
          </cell>
        </row>
        <row r="10">
          <cell r="D10">
            <v>20000</v>
          </cell>
        </row>
        <row r="11">
          <cell r="D11">
            <v>100000</v>
          </cell>
        </row>
        <row r="12">
          <cell r="D12">
            <v>230000</v>
          </cell>
        </row>
        <row r="13">
          <cell r="D13">
            <v>60000</v>
          </cell>
        </row>
        <row r="14">
          <cell r="D14">
            <v>80000</v>
          </cell>
        </row>
        <row r="15">
          <cell r="D15">
            <v>20000</v>
          </cell>
        </row>
        <row r="16">
          <cell r="D16">
            <v>47000</v>
          </cell>
        </row>
        <row r="17">
          <cell r="D17">
            <v>40000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42"/>
  <sheetViews>
    <sheetView tabSelected="1" zoomScalePageLayoutView="0" workbookViewId="0" topLeftCell="A1">
      <selection activeCell="B5" sqref="B5:B6"/>
    </sheetView>
  </sheetViews>
  <sheetFormatPr defaultColWidth="8.88671875" defaultRowHeight="16.5"/>
  <cols>
    <col min="1" max="1" width="7.21484375" style="23" customWidth="1"/>
    <col min="2" max="2" width="52.88671875" style="24" customWidth="1"/>
    <col min="3" max="3" width="11.77734375" style="25" customWidth="1"/>
    <col min="4" max="4" width="16.88671875" style="25" customWidth="1"/>
    <col min="5" max="5" width="13.99609375" style="23" customWidth="1"/>
    <col min="6" max="16384" width="8.88671875" style="23" customWidth="1"/>
  </cols>
  <sheetData>
    <row r="1" spans="1:4" ht="18.75">
      <c r="A1" s="233" t="s">
        <v>521</v>
      </c>
      <c r="B1" s="233"/>
      <c r="C1" s="233"/>
      <c r="D1" s="233"/>
    </row>
    <row r="2" spans="1:4" ht="18.75">
      <c r="A2" s="233" t="s">
        <v>498</v>
      </c>
      <c r="B2" s="233"/>
      <c r="C2" s="233"/>
      <c r="D2" s="233"/>
    </row>
    <row r="3" spans="1:4" ht="18.75" customHeight="1">
      <c r="A3" s="234" t="s">
        <v>522</v>
      </c>
      <c r="B3" s="234"/>
      <c r="C3" s="234"/>
      <c r="D3" s="234"/>
    </row>
    <row r="4" spans="3:4" ht="20.25" customHeight="1" thickBot="1">
      <c r="C4" s="206" t="s">
        <v>149</v>
      </c>
      <c r="D4" s="206"/>
    </row>
    <row r="5" spans="1:4" s="41" customFormat="1" ht="25.5" customHeight="1">
      <c r="A5" s="235" t="s">
        <v>97</v>
      </c>
      <c r="B5" s="210" t="s">
        <v>121</v>
      </c>
      <c r="C5" s="204" t="s">
        <v>523</v>
      </c>
      <c r="D5" s="231" t="s">
        <v>144</v>
      </c>
    </row>
    <row r="6" spans="1:5" s="41" customFormat="1" ht="18" customHeight="1">
      <c r="A6" s="209"/>
      <c r="B6" s="211"/>
      <c r="C6" s="205"/>
      <c r="D6" s="232"/>
      <c r="E6" s="63"/>
    </row>
    <row r="7" spans="1:5" s="198" customFormat="1" ht="20.25" customHeight="1">
      <c r="A7" s="213"/>
      <c r="B7" s="199" t="s">
        <v>524</v>
      </c>
      <c r="C7" s="214">
        <f>443995000-2750000</f>
        <v>441245000</v>
      </c>
      <c r="D7" s="215"/>
      <c r="E7" s="197"/>
    </row>
    <row r="8" spans="1:5" s="66" customFormat="1" ht="20.25" customHeight="1">
      <c r="A8" s="213" t="s">
        <v>99</v>
      </c>
      <c r="B8" s="216" t="s">
        <v>525</v>
      </c>
      <c r="C8" s="214">
        <v>17264000</v>
      </c>
      <c r="D8" s="215"/>
      <c r="E8" s="71"/>
    </row>
    <row r="9" spans="1:5" s="65" customFormat="1" ht="20.25" customHeight="1">
      <c r="A9" s="227">
        <v>1</v>
      </c>
      <c r="B9" s="228" t="s">
        <v>122</v>
      </c>
      <c r="C9" s="229">
        <v>2000000</v>
      </c>
      <c r="D9" s="230"/>
      <c r="E9" s="117"/>
    </row>
    <row r="10" spans="1:5" s="65" customFormat="1" ht="20.25" customHeight="1">
      <c r="A10" s="217"/>
      <c r="B10" s="218" t="s">
        <v>286</v>
      </c>
      <c r="C10" s="219">
        <v>280000</v>
      </c>
      <c r="D10" s="215"/>
      <c r="E10" s="117"/>
    </row>
    <row r="11" spans="1:4" s="66" customFormat="1" ht="20.25" customHeight="1">
      <c r="A11" s="217"/>
      <c r="B11" s="218" t="s">
        <v>526</v>
      </c>
      <c r="C11" s="219">
        <v>1720000</v>
      </c>
      <c r="D11" s="215"/>
    </row>
    <row r="12" spans="1:4" s="67" customFormat="1" ht="20.25" customHeight="1">
      <c r="A12" s="227">
        <v>2</v>
      </c>
      <c r="B12" s="228" t="s">
        <v>123</v>
      </c>
      <c r="C12" s="229">
        <v>15264000</v>
      </c>
      <c r="D12" s="230"/>
    </row>
    <row r="13" spans="1:5" s="68" customFormat="1" ht="20.25" customHeight="1">
      <c r="A13" s="213" t="s">
        <v>100</v>
      </c>
      <c r="B13" s="216" t="s">
        <v>527</v>
      </c>
      <c r="C13" s="214">
        <v>423981000</v>
      </c>
      <c r="D13" s="215"/>
      <c r="E13" s="73"/>
    </row>
    <row r="14" spans="1:4" s="67" customFormat="1" ht="20.25" customHeight="1">
      <c r="A14" s="227">
        <v>1</v>
      </c>
      <c r="B14" s="228" t="s">
        <v>124</v>
      </c>
      <c r="C14" s="229">
        <v>14679040</v>
      </c>
      <c r="D14" s="230"/>
    </row>
    <row r="15" spans="1:4" s="67" customFormat="1" ht="20.25" customHeight="1">
      <c r="A15" s="217"/>
      <c r="B15" s="218" t="s">
        <v>528</v>
      </c>
      <c r="C15" s="219">
        <v>1538200</v>
      </c>
      <c r="D15" s="220" t="s">
        <v>372</v>
      </c>
    </row>
    <row r="16" spans="1:4" s="67" customFormat="1" ht="20.25" customHeight="1">
      <c r="A16" s="217"/>
      <c r="B16" s="218" t="s">
        <v>529</v>
      </c>
      <c r="C16" s="219">
        <v>1228200</v>
      </c>
      <c r="D16" s="221"/>
    </row>
    <row r="17" spans="1:4" s="67" customFormat="1" ht="20.25" customHeight="1">
      <c r="A17" s="217"/>
      <c r="B17" s="218" t="s">
        <v>530</v>
      </c>
      <c r="C17" s="219">
        <v>310000</v>
      </c>
      <c r="D17" s="221"/>
    </row>
    <row r="18" spans="1:4" s="67" customFormat="1" ht="20.25" customHeight="1">
      <c r="A18" s="217"/>
      <c r="B18" s="218" t="s">
        <v>531</v>
      </c>
      <c r="C18" s="219">
        <v>130000</v>
      </c>
      <c r="D18" s="221"/>
    </row>
    <row r="19" spans="1:4" s="67" customFormat="1" ht="20.25" customHeight="1">
      <c r="A19" s="217"/>
      <c r="B19" s="218" t="s">
        <v>532</v>
      </c>
      <c r="C19" s="219">
        <v>1684000</v>
      </c>
      <c r="D19" s="220" t="s">
        <v>371</v>
      </c>
    </row>
    <row r="20" spans="1:4" s="67" customFormat="1" ht="20.25" customHeight="1">
      <c r="A20" s="217"/>
      <c r="B20" s="218" t="s">
        <v>533</v>
      </c>
      <c r="C20" s="219">
        <v>2770000</v>
      </c>
      <c r="D20" s="220" t="s">
        <v>489</v>
      </c>
    </row>
    <row r="21" spans="1:4" s="67" customFormat="1" ht="20.25" customHeight="1">
      <c r="A21" s="217"/>
      <c r="B21" s="218" t="s">
        <v>534</v>
      </c>
      <c r="C21" s="219">
        <v>1214000</v>
      </c>
      <c r="D21" s="220" t="s">
        <v>282</v>
      </c>
    </row>
    <row r="22" spans="1:4" s="67" customFormat="1" ht="20.25" customHeight="1">
      <c r="A22" s="217"/>
      <c r="B22" s="218" t="s">
        <v>276</v>
      </c>
      <c r="C22" s="219">
        <v>3000000</v>
      </c>
      <c r="D22" s="220" t="s">
        <v>283</v>
      </c>
    </row>
    <row r="23" spans="1:4" s="67" customFormat="1" ht="20.25" customHeight="1">
      <c r="A23" s="217"/>
      <c r="B23" s="218" t="s">
        <v>218</v>
      </c>
      <c r="C23" s="219">
        <v>1100000</v>
      </c>
      <c r="D23" s="220" t="s">
        <v>490</v>
      </c>
    </row>
    <row r="24" spans="1:5" s="68" customFormat="1" ht="20.25" customHeight="1">
      <c r="A24" s="217"/>
      <c r="B24" s="218" t="s">
        <v>221</v>
      </c>
      <c r="C24" s="219">
        <v>900000</v>
      </c>
      <c r="D24" s="220" t="s">
        <v>491</v>
      </c>
      <c r="E24" s="73"/>
    </row>
    <row r="25" spans="1:4" s="67" customFormat="1" ht="20.25" customHeight="1">
      <c r="A25" s="217"/>
      <c r="B25" s="218" t="s">
        <v>158</v>
      </c>
      <c r="C25" s="219">
        <v>2472840</v>
      </c>
      <c r="D25" s="221"/>
    </row>
    <row r="26" spans="1:4" s="65" customFormat="1" ht="20.25" customHeight="1">
      <c r="A26" s="227">
        <v>2</v>
      </c>
      <c r="B26" s="228" t="s">
        <v>155</v>
      </c>
      <c r="C26" s="229">
        <v>308208000</v>
      </c>
      <c r="D26" s="264" t="s">
        <v>284</v>
      </c>
    </row>
    <row r="27" spans="1:4" s="65" customFormat="1" ht="20.25" customHeight="1">
      <c r="A27" s="217"/>
      <c r="B27" s="218" t="s">
        <v>148</v>
      </c>
      <c r="C27" s="219">
        <v>222196100</v>
      </c>
      <c r="D27" s="221"/>
    </row>
    <row r="28" spans="1:4" s="65" customFormat="1" ht="35.25" customHeight="1">
      <c r="A28" s="217"/>
      <c r="B28" s="218" t="s">
        <v>535</v>
      </c>
      <c r="C28" s="219">
        <v>3650000</v>
      </c>
      <c r="D28" s="221"/>
    </row>
    <row r="29" spans="1:4" s="65" customFormat="1" ht="20.25" customHeight="1">
      <c r="A29" s="217"/>
      <c r="B29" s="218" t="s">
        <v>536</v>
      </c>
      <c r="C29" s="219">
        <v>25000000</v>
      </c>
      <c r="D29" s="221"/>
    </row>
    <row r="30" spans="1:4" s="65" customFormat="1" ht="33" customHeight="1">
      <c r="A30" s="217"/>
      <c r="B30" s="218" t="s">
        <v>537</v>
      </c>
      <c r="C30" s="219">
        <v>21810000</v>
      </c>
      <c r="D30" s="221"/>
    </row>
    <row r="31" spans="1:4" s="65" customFormat="1" ht="20.25" customHeight="1">
      <c r="A31" s="217"/>
      <c r="B31" s="218" t="s">
        <v>538</v>
      </c>
      <c r="C31" s="219">
        <v>1140000</v>
      </c>
      <c r="D31" s="221"/>
    </row>
    <row r="32" spans="1:4" s="65" customFormat="1" ht="20.25" customHeight="1">
      <c r="A32" s="217"/>
      <c r="B32" s="218" t="s">
        <v>375</v>
      </c>
      <c r="C32" s="219">
        <v>460000</v>
      </c>
      <c r="D32" s="221"/>
    </row>
    <row r="33" spans="1:4" s="65" customFormat="1" ht="32.25" customHeight="1">
      <c r="A33" s="217"/>
      <c r="B33" s="218" t="s">
        <v>539</v>
      </c>
      <c r="C33" s="219">
        <v>1820000</v>
      </c>
      <c r="D33" s="221"/>
    </row>
    <row r="34" spans="1:4" s="65" customFormat="1" ht="20.25" customHeight="1">
      <c r="A34" s="217"/>
      <c r="B34" s="218" t="s">
        <v>316</v>
      </c>
      <c r="C34" s="219">
        <v>792000</v>
      </c>
      <c r="D34" s="221"/>
    </row>
    <row r="35" spans="1:4" s="65" customFormat="1" ht="20.25" customHeight="1">
      <c r="A35" s="217"/>
      <c r="B35" s="218" t="s">
        <v>317</v>
      </c>
      <c r="C35" s="219">
        <v>425000</v>
      </c>
      <c r="D35" s="221"/>
    </row>
    <row r="36" spans="1:4" s="65" customFormat="1" ht="20.25" customHeight="1">
      <c r="A36" s="217"/>
      <c r="B36" s="218" t="s">
        <v>318</v>
      </c>
      <c r="C36" s="219">
        <v>1000000</v>
      </c>
      <c r="D36" s="221"/>
    </row>
    <row r="37" spans="1:4" s="65" customFormat="1" ht="33" customHeight="1">
      <c r="A37" s="217"/>
      <c r="B37" s="218" t="s">
        <v>540</v>
      </c>
      <c r="C37" s="219">
        <v>1160000</v>
      </c>
      <c r="D37" s="221"/>
    </row>
    <row r="38" spans="1:4" s="66" customFormat="1" ht="20.25" customHeight="1">
      <c r="A38" s="217"/>
      <c r="B38" s="218" t="s">
        <v>377</v>
      </c>
      <c r="C38" s="219">
        <v>6810000</v>
      </c>
      <c r="D38" s="215"/>
    </row>
    <row r="39" spans="1:4" s="66" customFormat="1" ht="20.25" customHeight="1">
      <c r="A39" s="217"/>
      <c r="B39" s="218" t="s">
        <v>378</v>
      </c>
      <c r="C39" s="219">
        <v>13190000</v>
      </c>
      <c r="D39" s="220"/>
    </row>
    <row r="40" spans="1:4" s="65" customFormat="1" ht="20.25" customHeight="1">
      <c r="A40" s="217"/>
      <c r="B40" s="218" t="s">
        <v>277</v>
      </c>
      <c r="C40" s="219">
        <v>5450000</v>
      </c>
      <c r="D40" s="221"/>
    </row>
    <row r="41" spans="1:4" s="65" customFormat="1" ht="20.25" customHeight="1">
      <c r="A41" s="217"/>
      <c r="B41" s="218" t="s">
        <v>379</v>
      </c>
      <c r="C41" s="219">
        <v>815900</v>
      </c>
      <c r="D41" s="221"/>
    </row>
    <row r="42" spans="1:4" s="65" customFormat="1" ht="20.25" customHeight="1">
      <c r="A42" s="217"/>
      <c r="B42" s="218" t="s">
        <v>244</v>
      </c>
      <c r="C42" s="219">
        <v>780000</v>
      </c>
      <c r="D42" s="221"/>
    </row>
    <row r="43" spans="1:4" s="65" customFormat="1" ht="20.25" customHeight="1">
      <c r="A43" s="213"/>
      <c r="B43" s="218" t="s">
        <v>380</v>
      </c>
      <c r="C43" s="219">
        <v>1709000</v>
      </c>
      <c r="D43" s="221"/>
    </row>
    <row r="44" spans="1:4" s="65" customFormat="1" ht="20.25" customHeight="1">
      <c r="A44" s="227">
        <v>3</v>
      </c>
      <c r="B44" s="228" t="s">
        <v>156</v>
      </c>
      <c r="C44" s="229">
        <v>29884660</v>
      </c>
      <c r="D44" s="264" t="s">
        <v>285</v>
      </c>
    </row>
    <row r="45" spans="1:4" s="65" customFormat="1" ht="20.25" customHeight="1">
      <c r="A45" s="217"/>
      <c r="B45" s="218" t="s">
        <v>148</v>
      </c>
      <c r="C45" s="219">
        <v>27241160</v>
      </c>
      <c r="D45" s="221"/>
    </row>
    <row r="46" spans="1:4" s="66" customFormat="1" ht="33" customHeight="1">
      <c r="A46" s="217"/>
      <c r="B46" s="218" t="s">
        <v>535</v>
      </c>
      <c r="C46" s="219">
        <v>250000</v>
      </c>
      <c r="D46" s="215"/>
    </row>
    <row r="47" spans="1:4" s="65" customFormat="1" ht="20.25" customHeight="1">
      <c r="A47" s="217"/>
      <c r="B47" s="218" t="s">
        <v>541</v>
      </c>
      <c r="C47" s="219">
        <v>375000</v>
      </c>
      <c r="D47" s="222"/>
    </row>
    <row r="48" spans="1:4" s="65" customFormat="1" ht="20.25" customHeight="1">
      <c r="A48" s="217"/>
      <c r="B48" s="218" t="s">
        <v>222</v>
      </c>
      <c r="C48" s="219">
        <v>305500</v>
      </c>
      <c r="D48" s="221"/>
    </row>
    <row r="49" spans="1:4" s="65" customFormat="1" ht="20.25" customHeight="1">
      <c r="A49" s="217"/>
      <c r="B49" s="218" t="s">
        <v>245</v>
      </c>
      <c r="C49" s="219">
        <v>600000</v>
      </c>
      <c r="D49" s="222"/>
    </row>
    <row r="50" spans="1:4" s="65" customFormat="1" ht="20.25" customHeight="1">
      <c r="A50" s="217"/>
      <c r="B50" s="218" t="s">
        <v>246</v>
      </c>
      <c r="C50" s="219">
        <v>413000</v>
      </c>
      <c r="D50" s="222"/>
    </row>
    <row r="51" spans="1:4" s="65" customFormat="1" ht="34.5" customHeight="1">
      <c r="A51" s="217"/>
      <c r="B51" s="218" t="s">
        <v>381</v>
      </c>
      <c r="C51" s="219">
        <v>400000</v>
      </c>
      <c r="D51" s="222"/>
    </row>
    <row r="52" spans="1:4" s="65" customFormat="1" ht="20.25" customHeight="1">
      <c r="A52" s="213"/>
      <c r="B52" s="218" t="s">
        <v>380</v>
      </c>
      <c r="C52" s="219">
        <v>300000</v>
      </c>
      <c r="D52" s="222"/>
    </row>
    <row r="53" spans="1:4" s="65" customFormat="1" ht="20.25" customHeight="1">
      <c r="A53" s="227">
        <v>4</v>
      </c>
      <c r="B53" s="228" t="s">
        <v>542</v>
      </c>
      <c r="C53" s="229">
        <v>3055000</v>
      </c>
      <c r="D53" s="264" t="s">
        <v>492</v>
      </c>
    </row>
    <row r="54" spans="1:5" s="66" customFormat="1" ht="20.25" customHeight="1">
      <c r="A54" s="217"/>
      <c r="B54" s="218" t="s">
        <v>148</v>
      </c>
      <c r="C54" s="219">
        <v>1930000</v>
      </c>
      <c r="D54" s="223"/>
      <c r="E54" s="71"/>
    </row>
    <row r="55" spans="1:4" s="65" customFormat="1" ht="36" customHeight="1">
      <c r="A55" s="217"/>
      <c r="B55" s="218" t="s">
        <v>535</v>
      </c>
      <c r="C55" s="219">
        <v>50000</v>
      </c>
      <c r="D55" s="222"/>
    </row>
    <row r="56" spans="1:4" s="65" customFormat="1" ht="20.25" customHeight="1">
      <c r="A56" s="217"/>
      <c r="B56" s="218" t="s">
        <v>240</v>
      </c>
      <c r="C56" s="219">
        <v>100000</v>
      </c>
      <c r="D56" s="222"/>
    </row>
    <row r="57" spans="1:4" s="66" customFormat="1" ht="20.25" customHeight="1">
      <c r="A57" s="217"/>
      <c r="B57" s="218" t="s">
        <v>382</v>
      </c>
      <c r="C57" s="219">
        <v>650000</v>
      </c>
      <c r="D57" s="220"/>
    </row>
    <row r="58" spans="1:4" s="65" customFormat="1" ht="20.25" customHeight="1">
      <c r="A58" s="217"/>
      <c r="B58" s="218" t="s">
        <v>247</v>
      </c>
      <c r="C58" s="219">
        <v>200000</v>
      </c>
      <c r="D58" s="222"/>
    </row>
    <row r="59" spans="1:4" s="65" customFormat="1" ht="20.25" customHeight="1">
      <c r="A59" s="217"/>
      <c r="B59" s="218" t="s">
        <v>244</v>
      </c>
      <c r="C59" s="219">
        <v>35000</v>
      </c>
      <c r="D59" s="222"/>
    </row>
    <row r="60" spans="1:4" s="65" customFormat="1" ht="20.25" customHeight="1">
      <c r="A60" s="213"/>
      <c r="B60" s="218" t="s">
        <v>380</v>
      </c>
      <c r="C60" s="219">
        <v>90000</v>
      </c>
      <c r="D60" s="222"/>
    </row>
    <row r="61" spans="1:4" s="65" customFormat="1" ht="20.25" customHeight="1">
      <c r="A61" s="227">
        <v>5</v>
      </c>
      <c r="B61" s="228" t="s">
        <v>231</v>
      </c>
      <c r="C61" s="229">
        <v>2210000</v>
      </c>
      <c r="D61" s="264" t="s">
        <v>291</v>
      </c>
    </row>
    <row r="62" spans="1:4" s="65" customFormat="1" ht="20.25" customHeight="1">
      <c r="A62" s="213"/>
      <c r="B62" s="218" t="s">
        <v>148</v>
      </c>
      <c r="C62" s="219">
        <v>2098000</v>
      </c>
      <c r="D62" s="222"/>
    </row>
    <row r="63" spans="1:4" s="65" customFormat="1" ht="33.75" customHeight="1">
      <c r="A63" s="217"/>
      <c r="B63" s="218" t="s">
        <v>535</v>
      </c>
      <c r="C63" s="219">
        <v>47000</v>
      </c>
      <c r="D63" s="221"/>
    </row>
    <row r="64" spans="1:4" s="65" customFormat="1" ht="20.25" customHeight="1">
      <c r="A64" s="217"/>
      <c r="B64" s="218" t="s">
        <v>244</v>
      </c>
      <c r="C64" s="219">
        <v>25000</v>
      </c>
      <c r="D64" s="221"/>
    </row>
    <row r="65" spans="1:4" s="65" customFormat="1" ht="20.25" customHeight="1">
      <c r="A65" s="213"/>
      <c r="B65" s="218" t="s">
        <v>380</v>
      </c>
      <c r="C65" s="219">
        <v>40000</v>
      </c>
      <c r="D65" s="222"/>
    </row>
    <row r="66" spans="1:4" s="65" customFormat="1" ht="20.25" customHeight="1">
      <c r="A66" s="227">
        <v>6</v>
      </c>
      <c r="B66" s="228" t="s">
        <v>125</v>
      </c>
      <c r="C66" s="229">
        <v>24342000</v>
      </c>
      <c r="D66" s="264" t="s">
        <v>367</v>
      </c>
    </row>
    <row r="67" spans="1:4" s="67" customFormat="1" ht="20.25" customHeight="1">
      <c r="A67" s="217"/>
      <c r="B67" s="218" t="s">
        <v>241</v>
      </c>
      <c r="C67" s="219">
        <v>970000</v>
      </c>
      <c r="D67" s="221"/>
    </row>
    <row r="68" spans="1:4" s="65" customFormat="1" ht="20.25" customHeight="1">
      <c r="A68" s="217"/>
      <c r="B68" s="218" t="s">
        <v>544</v>
      </c>
      <c r="C68" s="219">
        <v>940000</v>
      </c>
      <c r="D68" s="221"/>
    </row>
    <row r="69" spans="1:4" s="65" customFormat="1" ht="20.25" customHeight="1">
      <c r="A69" s="217"/>
      <c r="B69" s="218" t="s">
        <v>543</v>
      </c>
      <c r="C69" s="219">
        <v>30000</v>
      </c>
      <c r="D69" s="222"/>
    </row>
    <row r="70" spans="1:4" s="66" customFormat="1" ht="20.25" customHeight="1">
      <c r="A70" s="217"/>
      <c r="B70" s="218" t="s">
        <v>242</v>
      </c>
      <c r="C70" s="219">
        <v>1760000</v>
      </c>
      <c r="D70" s="223"/>
    </row>
    <row r="71" spans="1:4" s="66" customFormat="1" ht="20.25" customHeight="1">
      <c r="A71" s="217"/>
      <c r="B71" s="218" t="s">
        <v>128</v>
      </c>
      <c r="C71" s="219">
        <v>2191000</v>
      </c>
      <c r="D71" s="223"/>
    </row>
    <row r="72" spans="1:4" s="65" customFormat="1" ht="36" customHeight="1">
      <c r="A72" s="217"/>
      <c r="B72" s="218" t="s">
        <v>535</v>
      </c>
      <c r="C72" s="219">
        <v>20000</v>
      </c>
      <c r="D72" s="222"/>
    </row>
    <row r="73" spans="1:4" s="65" customFormat="1" ht="20.25" customHeight="1">
      <c r="A73" s="217"/>
      <c r="B73" s="218" t="s">
        <v>545</v>
      </c>
      <c r="C73" s="219">
        <v>100000</v>
      </c>
      <c r="D73" s="222"/>
    </row>
    <row r="74" spans="1:5" s="66" customFormat="1" ht="31.5" customHeight="1">
      <c r="A74" s="217"/>
      <c r="B74" s="218" t="s">
        <v>546</v>
      </c>
      <c r="C74" s="219">
        <v>9500000</v>
      </c>
      <c r="D74" s="220"/>
      <c r="E74" s="71"/>
    </row>
    <row r="75" spans="1:4" s="66" customFormat="1" ht="20.25" customHeight="1">
      <c r="A75" s="217"/>
      <c r="B75" s="218" t="s">
        <v>547</v>
      </c>
      <c r="C75" s="219">
        <v>2600000</v>
      </c>
      <c r="D75" s="223"/>
    </row>
    <row r="76" spans="1:4" s="67" customFormat="1" ht="20.25" customHeight="1">
      <c r="A76" s="217"/>
      <c r="B76" s="218" t="s">
        <v>383</v>
      </c>
      <c r="C76" s="219">
        <v>5142000</v>
      </c>
      <c r="D76" s="221"/>
    </row>
    <row r="77" spans="1:4" s="66" customFormat="1" ht="20.25" customHeight="1">
      <c r="A77" s="217"/>
      <c r="B77" s="218" t="s">
        <v>223</v>
      </c>
      <c r="C77" s="219">
        <v>2054000</v>
      </c>
      <c r="D77" s="215"/>
    </row>
    <row r="78" spans="1:4" s="65" customFormat="1" ht="20.25" customHeight="1">
      <c r="A78" s="217"/>
      <c r="B78" s="218" t="s">
        <v>548</v>
      </c>
      <c r="C78" s="219">
        <v>120000</v>
      </c>
      <c r="D78" s="222"/>
    </row>
    <row r="79" spans="1:4" s="65" customFormat="1" ht="34.5" customHeight="1">
      <c r="A79" s="217"/>
      <c r="B79" s="218" t="s">
        <v>549</v>
      </c>
      <c r="C79" s="219">
        <v>250000</v>
      </c>
      <c r="D79" s="222"/>
    </row>
    <row r="80" spans="1:4" s="65" customFormat="1" ht="20.25" customHeight="1">
      <c r="A80" s="217"/>
      <c r="B80" s="218" t="s">
        <v>554</v>
      </c>
      <c r="C80" s="219">
        <v>550000</v>
      </c>
      <c r="D80" s="222"/>
    </row>
    <row r="81" spans="1:4" s="66" customFormat="1" ht="20.25" customHeight="1">
      <c r="A81" s="217"/>
      <c r="B81" s="218" t="s">
        <v>551</v>
      </c>
      <c r="C81" s="219">
        <v>120000</v>
      </c>
      <c r="D81" s="223"/>
    </row>
    <row r="82" spans="1:4" s="65" customFormat="1" ht="20.25" customHeight="1">
      <c r="A82" s="217"/>
      <c r="B82" s="218" t="s">
        <v>552</v>
      </c>
      <c r="C82" s="219">
        <v>550000</v>
      </c>
      <c r="D82" s="222"/>
    </row>
    <row r="83" spans="1:4" s="65" customFormat="1" ht="20.25" customHeight="1">
      <c r="A83" s="217"/>
      <c r="B83" s="218" t="s">
        <v>553</v>
      </c>
      <c r="C83" s="219">
        <v>464000</v>
      </c>
      <c r="D83" s="222"/>
    </row>
    <row r="84" spans="1:4" s="65" customFormat="1" ht="20.25" customHeight="1">
      <c r="A84" s="217"/>
      <c r="B84" s="218" t="s">
        <v>244</v>
      </c>
      <c r="C84" s="219">
        <v>10000</v>
      </c>
      <c r="D84" s="221"/>
    </row>
    <row r="85" spans="1:4" s="65" customFormat="1" ht="20.25" customHeight="1">
      <c r="A85" s="213"/>
      <c r="B85" s="218" t="s">
        <v>380</v>
      </c>
      <c r="C85" s="219">
        <v>15000</v>
      </c>
      <c r="D85" s="221"/>
    </row>
    <row r="86" spans="1:4" s="65" customFormat="1" ht="20.25" customHeight="1">
      <c r="A86" s="227">
        <v>7</v>
      </c>
      <c r="B86" s="228" t="s">
        <v>126</v>
      </c>
      <c r="C86" s="229">
        <v>25889300</v>
      </c>
      <c r="D86" s="264" t="s">
        <v>368</v>
      </c>
    </row>
    <row r="87" spans="1:4" s="65" customFormat="1" ht="20.25" customHeight="1">
      <c r="A87" s="217" t="s">
        <v>129</v>
      </c>
      <c r="B87" s="218" t="s">
        <v>550</v>
      </c>
      <c r="C87" s="219">
        <v>135000</v>
      </c>
      <c r="D87" s="221"/>
    </row>
    <row r="88" spans="1:4" s="65" customFormat="1" ht="20.25" customHeight="1">
      <c r="A88" s="217" t="s">
        <v>130</v>
      </c>
      <c r="B88" s="218" t="s">
        <v>224</v>
      </c>
      <c r="C88" s="219">
        <v>7240000</v>
      </c>
      <c r="D88" s="221"/>
    </row>
    <row r="89" spans="1:4" s="66" customFormat="1" ht="20.25" customHeight="1">
      <c r="A89" s="217"/>
      <c r="B89" s="218" t="s">
        <v>143</v>
      </c>
      <c r="C89" s="219">
        <v>6770000</v>
      </c>
      <c r="D89" s="223"/>
    </row>
    <row r="90" spans="1:4" s="66" customFormat="1" ht="31.5" customHeight="1">
      <c r="A90" s="213"/>
      <c r="B90" s="218" t="s">
        <v>535</v>
      </c>
      <c r="C90" s="219">
        <v>190000</v>
      </c>
      <c r="D90" s="223"/>
    </row>
    <row r="91" spans="1:4" s="66" customFormat="1" ht="20.25" customHeight="1">
      <c r="A91" s="213"/>
      <c r="B91" s="218" t="s">
        <v>243</v>
      </c>
      <c r="C91" s="219">
        <v>100000</v>
      </c>
      <c r="D91" s="223"/>
    </row>
    <row r="92" spans="1:4" s="65" customFormat="1" ht="20.25" customHeight="1">
      <c r="A92" s="213"/>
      <c r="B92" s="218" t="s">
        <v>244</v>
      </c>
      <c r="C92" s="219">
        <v>90000</v>
      </c>
      <c r="D92" s="222"/>
    </row>
    <row r="93" spans="1:4" s="65" customFormat="1" ht="20.25" customHeight="1">
      <c r="A93" s="213"/>
      <c r="B93" s="218" t="s">
        <v>380</v>
      </c>
      <c r="C93" s="219">
        <v>90000</v>
      </c>
      <c r="D93" s="222"/>
    </row>
    <row r="94" spans="1:4" s="65" customFormat="1" ht="20.25" customHeight="1">
      <c r="A94" s="227" t="s">
        <v>131</v>
      </c>
      <c r="B94" s="228" t="s">
        <v>555</v>
      </c>
      <c r="C94" s="265">
        <v>13225000</v>
      </c>
      <c r="D94" s="230"/>
    </row>
    <row r="95" spans="1:4" s="67" customFormat="1" ht="20.25" customHeight="1">
      <c r="A95" s="217"/>
      <c r="B95" s="218" t="s">
        <v>143</v>
      </c>
      <c r="C95" s="219">
        <v>10654000</v>
      </c>
      <c r="D95" s="221"/>
    </row>
    <row r="96" spans="1:4" s="68" customFormat="1" ht="34.5" customHeight="1">
      <c r="A96" s="217"/>
      <c r="B96" s="218" t="s">
        <v>535</v>
      </c>
      <c r="C96" s="219">
        <v>320000</v>
      </c>
      <c r="D96" s="215"/>
    </row>
    <row r="97" spans="1:4" s="67" customFormat="1" ht="20.25" customHeight="1">
      <c r="A97" s="217"/>
      <c r="B97" s="218" t="s">
        <v>556</v>
      </c>
      <c r="C97" s="219">
        <v>180000</v>
      </c>
      <c r="D97" s="222"/>
    </row>
    <row r="98" spans="1:4" s="67" customFormat="1" ht="20.25" customHeight="1">
      <c r="A98" s="217"/>
      <c r="B98" s="218" t="s">
        <v>132</v>
      </c>
      <c r="C98" s="219">
        <v>105000</v>
      </c>
      <c r="D98" s="222"/>
    </row>
    <row r="99" spans="1:4" s="68" customFormat="1" ht="20.25" customHeight="1">
      <c r="A99" s="217"/>
      <c r="B99" s="218" t="s">
        <v>557</v>
      </c>
      <c r="C99" s="219">
        <v>105000</v>
      </c>
      <c r="D99" s="223"/>
    </row>
    <row r="100" spans="1:4" s="68" customFormat="1" ht="20.25" customHeight="1">
      <c r="A100" s="217"/>
      <c r="B100" s="218" t="s">
        <v>558</v>
      </c>
      <c r="C100" s="219">
        <v>150000</v>
      </c>
      <c r="D100" s="223"/>
    </row>
    <row r="101" spans="1:4" s="70" customFormat="1" ht="20.25" customHeight="1">
      <c r="A101" s="217"/>
      <c r="B101" s="218" t="s">
        <v>384</v>
      </c>
      <c r="C101" s="219">
        <v>620000</v>
      </c>
      <c r="D101" s="220"/>
    </row>
    <row r="102" spans="1:4" s="69" customFormat="1" ht="30" customHeight="1">
      <c r="A102" s="217"/>
      <c r="B102" s="218" t="s">
        <v>559</v>
      </c>
      <c r="C102" s="219">
        <v>15000</v>
      </c>
      <c r="D102" s="224"/>
    </row>
    <row r="103" spans="1:4" s="69" customFormat="1" ht="20.25" customHeight="1">
      <c r="A103" s="217"/>
      <c r="B103" s="218" t="s">
        <v>385</v>
      </c>
      <c r="C103" s="219">
        <v>221000</v>
      </c>
      <c r="D103" s="224"/>
    </row>
    <row r="104" spans="1:4" s="69" customFormat="1" ht="20.25" customHeight="1">
      <c r="A104" s="217"/>
      <c r="B104" s="218" t="s">
        <v>279</v>
      </c>
      <c r="C104" s="219">
        <v>615000</v>
      </c>
      <c r="D104" s="224"/>
    </row>
    <row r="105" spans="1:4" s="69" customFormat="1" ht="20.25" customHeight="1">
      <c r="A105" s="217"/>
      <c r="B105" s="218" t="s">
        <v>244</v>
      </c>
      <c r="C105" s="219">
        <v>90000</v>
      </c>
      <c r="D105" s="224"/>
    </row>
    <row r="106" spans="1:4" s="69" customFormat="1" ht="20.25" customHeight="1">
      <c r="A106" s="213"/>
      <c r="B106" s="218" t="s">
        <v>380</v>
      </c>
      <c r="C106" s="219">
        <v>150000</v>
      </c>
      <c r="D106" s="224"/>
    </row>
    <row r="107" spans="1:4" s="69" customFormat="1" ht="20.25" customHeight="1">
      <c r="A107" s="227" t="s">
        <v>133</v>
      </c>
      <c r="B107" s="228" t="s">
        <v>315</v>
      </c>
      <c r="C107" s="265">
        <v>4080000</v>
      </c>
      <c r="D107" s="266"/>
    </row>
    <row r="108" spans="1:4" s="69" customFormat="1" ht="20.25" customHeight="1">
      <c r="A108" s="217"/>
      <c r="B108" s="218" t="s">
        <v>143</v>
      </c>
      <c r="C108" s="219">
        <v>3009010</v>
      </c>
      <c r="D108" s="224"/>
    </row>
    <row r="109" spans="1:4" s="70" customFormat="1" ht="35.25" customHeight="1">
      <c r="A109" s="217"/>
      <c r="B109" s="218" t="s">
        <v>535</v>
      </c>
      <c r="C109" s="219">
        <v>150000</v>
      </c>
      <c r="D109" s="220"/>
    </row>
    <row r="110" spans="1:4" s="69" customFormat="1" ht="20.25" customHeight="1">
      <c r="A110" s="217"/>
      <c r="B110" s="218" t="s">
        <v>135</v>
      </c>
      <c r="C110" s="219">
        <v>50000</v>
      </c>
      <c r="D110" s="224"/>
    </row>
    <row r="111" spans="1:4" s="69" customFormat="1" ht="20.25" customHeight="1">
      <c r="A111" s="217"/>
      <c r="B111" s="218" t="s">
        <v>136</v>
      </c>
      <c r="C111" s="219">
        <v>146190</v>
      </c>
      <c r="D111" s="224"/>
    </row>
    <row r="112" spans="1:4" s="69" customFormat="1" ht="20.25" customHeight="1">
      <c r="A112" s="217"/>
      <c r="B112" s="218" t="s">
        <v>141</v>
      </c>
      <c r="C112" s="219">
        <v>594800</v>
      </c>
      <c r="D112" s="224"/>
    </row>
    <row r="113" spans="1:4" s="69" customFormat="1" ht="20.25" customHeight="1">
      <c r="A113" s="217"/>
      <c r="B113" s="218" t="s">
        <v>560</v>
      </c>
      <c r="C113" s="219">
        <v>50000</v>
      </c>
      <c r="D113" s="224"/>
    </row>
    <row r="114" spans="1:4" s="69" customFormat="1" ht="20.25" customHeight="1">
      <c r="A114" s="217"/>
      <c r="B114" s="218" t="s">
        <v>244</v>
      </c>
      <c r="C114" s="219">
        <v>30000</v>
      </c>
      <c r="D114" s="224"/>
    </row>
    <row r="115" spans="1:4" s="69" customFormat="1" ht="20.25" customHeight="1">
      <c r="A115" s="213"/>
      <c r="B115" s="218" t="s">
        <v>380</v>
      </c>
      <c r="C115" s="219">
        <v>50000</v>
      </c>
      <c r="D115" s="224"/>
    </row>
    <row r="116" spans="1:4" s="69" customFormat="1" ht="20.25" customHeight="1">
      <c r="A116" s="227" t="s">
        <v>134</v>
      </c>
      <c r="B116" s="228" t="s">
        <v>386</v>
      </c>
      <c r="C116" s="265">
        <v>1209300</v>
      </c>
      <c r="D116" s="264"/>
    </row>
    <row r="117" spans="1:4" s="69" customFormat="1" ht="20.25" customHeight="1">
      <c r="A117" s="217"/>
      <c r="B117" s="218" t="s">
        <v>380</v>
      </c>
      <c r="C117" s="219">
        <v>546000</v>
      </c>
      <c r="D117" s="224"/>
    </row>
    <row r="118" spans="1:4" s="69" customFormat="1" ht="20.25" customHeight="1">
      <c r="A118" s="217"/>
      <c r="B118" s="218" t="s">
        <v>387</v>
      </c>
      <c r="C118" s="219">
        <v>663300</v>
      </c>
      <c r="D118" s="224"/>
    </row>
    <row r="119" spans="1:4" s="69" customFormat="1" ht="20.25" customHeight="1">
      <c r="A119" s="227">
        <v>8</v>
      </c>
      <c r="B119" s="228" t="s">
        <v>157</v>
      </c>
      <c r="C119" s="229">
        <v>1650000</v>
      </c>
      <c r="D119" s="264" t="s">
        <v>284</v>
      </c>
    </row>
    <row r="120" spans="1:4" s="70" customFormat="1" ht="20.25" customHeight="1">
      <c r="A120" s="217"/>
      <c r="B120" s="218" t="s">
        <v>143</v>
      </c>
      <c r="C120" s="219">
        <v>611000</v>
      </c>
      <c r="D120" s="225"/>
    </row>
    <row r="121" spans="1:4" s="69" customFormat="1" ht="34.5" customHeight="1">
      <c r="A121" s="217"/>
      <c r="B121" s="218" t="s">
        <v>535</v>
      </c>
      <c r="C121" s="219">
        <v>40000</v>
      </c>
      <c r="D121" s="225"/>
    </row>
    <row r="122" spans="1:4" ht="20.25" customHeight="1">
      <c r="A122" s="217"/>
      <c r="B122" s="218" t="s">
        <v>239</v>
      </c>
      <c r="C122" s="219">
        <v>959000</v>
      </c>
      <c r="D122" s="225"/>
    </row>
    <row r="123" spans="1:4" ht="20.25" customHeight="1">
      <c r="A123" s="217"/>
      <c r="B123" s="218" t="s">
        <v>244</v>
      </c>
      <c r="C123" s="219">
        <v>10000</v>
      </c>
      <c r="D123" s="225"/>
    </row>
    <row r="124" spans="1:4" ht="20.25" customHeight="1">
      <c r="A124" s="213"/>
      <c r="B124" s="218" t="s">
        <v>380</v>
      </c>
      <c r="C124" s="219">
        <v>30000</v>
      </c>
      <c r="D124" s="225"/>
    </row>
    <row r="125" spans="1:4" ht="20.25" customHeight="1">
      <c r="A125" s="227">
        <v>9</v>
      </c>
      <c r="B125" s="228" t="s">
        <v>388</v>
      </c>
      <c r="C125" s="229">
        <v>4805000</v>
      </c>
      <c r="D125" s="264" t="s">
        <v>369</v>
      </c>
    </row>
    <row r="126" spans="1:4" ht="18.75" customHeight="1">
      <c r="A126" s="217"/>
      <c r="B126" s="218" t="s">
        <v>178</v>
      </c>
      <c r="C126" s="219">
        <v>370000</v>
      </c>
      <c r="D126" s="225"/>
    </row>
    <row r="127" spans="1:4" ht="18.75" customHeight="1">
      <c r="A127" s="217"/>
      <c r="B127" s="218" t="s">
        <v>319</v>
      </c>
      <c r="C127" s="219">
        <v>140000</v>
      </c>
      <c r="D127" s="225"/>
    </row>
    <row r="128" spans="1:4" ht="18.75" customHeight="1">
      <c r="A128" s="217"/>
      <c r="B128" s="218" t="s">
        <v>561</v>
      </c>
      <c r="C128" s="219">
        <v>1330000</v>
      </c>
      <c r="D128" s="225"/>
    </row>
    <row r="129" spans="1:4" ht="18.75" customHeight="1">
      <c r="A129" s="217"/>
      <c r="B129" s="218" t="s">
        <v>389</v>
      </c>
      <c r="C129" s="219">
        <v>650000</v>
      </c>
      <c r="D129" s="225"/>
    </row>
    <row r="130" spans="1:4" ht="18.75" customHeight="1">
      <c r="A130" s="217"/>
      <c r="B130" s="218" t="s">
        <v>309</v>
      </c>
      <c r="C130" s="219">
        <v>2315000</v>
      </c>
      <c r="D130" s="225"/>
    </row>
    <row r="131" spans="1:4" ht="20.25" customHeight="1">
      <c r="A131" s="227">
        <v>10</v>
      </c>
      <c r="B131" s="228" t="s">
        <v>127</v>
      </c>
      <c r="C131" s="265">
        <v>797000</v>
      </c>
      <c r="D131" s="264" t="s">
        <v>370</v>
      </c>
    </row>
    <row r="132" spans="1:4" ht="18.75" customHeight="1">
      <c r="A132" s="217"/>
      <c r="B132" s="218" t="s">
        <v>137</v>
      </c>
      <c r="C132" s="219">
        <v>90000</v>
      </c>
      <c r="D132" s="225"/>
    </row>
    <row r="133" spans="1:4" ht="36" customHeight="1">
      <c r="A133" s="217"/>
      <c r="B133" s="218" t="s">
        <v>535</v>
      </c>
      <c r="C133" s="219">
        <v>80000</v>
      </c>
      <c r="D133" s="225"/>
    </row>
    <row r="134" spans="1:4" ht="18.75" customHeight="1">
      <c r="A134" s="217"/>
      <c r="B134" s="226" t="s">
        <v>248</v>
      </c>
      <c r="C134" s="219">
        <v>30000</v>
      </c>
      <c r="D134" s="225"/>
    </row>
    <row r="135" spans="1:4" ht="18.75" customHeight="1">
      <c r="A135" s="217"/>
      <c r="B135" s="226" t="s">
        <v>562</v>
      </c>
      <c r="C135" s="219">
        <v>120000</v>
      </c>
      <c r="D135" s="225"/>
    </row>
    <row r="136" spans="1:4" ht="18.75" customHeight="1">
      <c r="A136" s="217"/>
      <c r="B136" s="226" t="s">
        <v>390</v>
      </c>
      <c r="C136" s="219">
        <v>60000</v>
      </c>
      <c r="D136" s="225"/>
    </row>
    <row r="137" spans="1:4" ht="18.75" customHeight="1">
      <c r="A137" s="217"/>
      <c r="B137" s="226" t="s">
        <v>391</v>
      </c>
      <c r="C137" s="219">
        <v>80000</v>
      </c>
      <c r="D137" s="225"/>
    </row>
    <row r="138" spans="1:4" ht="32.25" customHeight="1">
      <c r="A138" s="217"/>
      <c r="B138" s="226" t="s">
        <v>563</v>
      </c>
      <c r="C138" s="219">
        <v>20000</v>
      </c>
      <c r="D138" s="225"/>
    </row>
    <row r="139" spans="1:4" ht="18.75" customHeight="1">
      <c r="A139" s="217"/>
      <c r="B139" s="218" t="s">
        <v>493</v>
      </c>
      <c r="C139" s="219">
        <v>40000</v>
      </c>
      <c r="D139" s="225"/>
    </row>
    <row r="140" spans="1:4" ht="18.75" customHeight="1">
      <c r="A140" s="217"/>
      <c r="B140" s="218" t="s">
        <v>244</v>
      </c>
      <c r="C140" s="219">
        <v>230000</v>
      </c>
      <c r="D140" s="225"/>
    </row>
    <row r="141" spans="1:4" ht="18.75" customHeight="1">
      <c r="A141" s="217"/>
      <c r="B141" s="218" t="s">
        <v>380</v>
      </c>
      <c r="C141" s="219">
        <v>47000</v>
      </c>
      <c r="D141" s="225"/>
    </row>
    <row r="142" spans="1:4" ht="20.25" customHeight="1" thickBot="1">
      <c r="A142" s="267">
        <v>11</v>
      </c>
      <c r="B142" s="268" t="s">
        <v>320</v>
      </c>
      <c r="C142" s="269">
        <v>8461000</v>
      </c>
      <c r="D142" s="270"/>
    </row>
  </sheetData>
  <sheetProtection/>
  <mergeCells count="8">
    <mergeCell ref="D5:D6"/>
    <mergeCell ref="A2:D2"/>
    <mergeCell ref="A1:D1"/>
    <mergeCell ref="A3:D3"/>
    <mergeCell ref="A5:A6"/>
    <mergeCell ref="B5:B6"/>
    <mergeCell ref="C5:C6"/>
    <mergeCell ref="C4:D4"/>
  </mergeCells>
  <printOptions horizontalCentered="1"/>
  <pageMargins left="0" right="0" top="0.5" bottom="0.5" header="0.5" footer="0.5"/>
  <pageSetup horizontalDpi="600" verticalDpi="600" orientation="portrait" paperSize="9" r:id="rId1"/>
  <headerFooter alignWithMargins="0">
    <oddFooter>&amp;CPage &amp;P</oddFooter>
  </headerFooter>
</worksheet>
</file>

<file path=xl/worksheets/sheet10.xml><?xml version="1.0" encoding="utf-8"?>
<worksheet xmlns="http://schemas.openxmlformats.org/spreadsheetml/2006/main" xmlns:r="http://schemas.openxmlformats.org/officeDocument/2006/relationships">
  <dimension ref="A1:N11"/>
  <sheetViews>
    <sheetView zoomScalePageLayoutView="0" workbookViewId="0" topLeftCell="A1">
      <selection activeCell="E9" sqref="E9"/>
    </sheetView>
  </sheetViews>
  <sheetFormatPr defaultColWidth="8.88671875" defaultRowHeight="16.5"/>
  <cols>
    <col min="1" max="1" width="5.21484375" style="1" customWidth="1"/>
    <col min="2" max="2" width="38.10546875" style="3" customWidth="1"/>
    <col min="3" max="3" width="12.21484375" style="104" customWidth="1"/>
    <col min="4" max="4" width="14.21484375" style="104" customWidth="1"/>
    <col min="5" max="5" width="15.77734375" style="105" customWidth="1"/>
    <col min="6" max="6" width="11.5546875" style="105" customWidth="1"/>
    <col min="7" max="7" width="12.3359375" style="105" customWidth="1"/>
    <col min="8" max="8" width="11.10546875" style="105" customWidth="1"/>
    <col min="9" max="9" width="8.77734375" style="105" customWidth="1"/>
    <col min="10" max="10" width="16.77734375" style="106" customWidth="1"/>
    <col min="11" max="14" width="8.88671875" style="97" customWidth="1"/>
    <col min="15" max="16384" width="8.88671875" style="1" customWidth="1"/>
  </cols>
  <sheetData>
    <row r="1" spans="1:10" ht="19.5" customHeight="1">
      <c r="A1" s="233" t="s">
        <v>283</v>
      </c>
      <c r="B1" s="233"/>
      <c r="C1" s="233"/>
      <c r="D1" s="233"/>
      <c r="E1" s="233"/>
      <c r="F1" s="233"/>
      <c r="G1" s="233"/>
      <c r="H1" s="233"/>
      <c r="I1" s="233"/>
      <c r="J1" s="135"/>
    </row>
    <row r="2" spans="1:10" ht="20.25" customHeight="1">
      <c r="A2" s="245" t="s">
        <v>506</v>
      </c>
      <c r="B2" s="245"/>
      <c r="C2" s="245"/>
      <c r="D2" s="245"/>
      <c r="E2" s="245"/>
      <c r="F2" s="245"/>
      <c r="G2" s="245"/>
      <c r="H2" s="245"/>
      <c r="I2" s="245"/>
      <c r="J2" s="136"/>
    </row>
    <row r="3" spans="1:10" ht="20.25" customHeight="1">
      <c r="A3" s="246" t="str">
        <f>'Biểu 05'!A3:G3</f>
        <v>(Kèm theo Nghị quyết số 86/NĐ-HĐND ngày 18 tháng 12 năm 2015 của HĐND huyện Sông Mã)</v>
      </c>
      <c r="B3" s="246"/>
      <c r="C3" s="246"/>
      <c r="D3" s="246"/>
      <c r="E3" s="246"/>
      <c r="F3" s="246"/>
      <c r="G3" s="246"/>
      <c r="H3" s="246"/>
      <c r="I3" s="246"/>
      <c r="J3" s="137"/>
    </row>
    <row r="4" spans="1:10" ht="18.75" customHeight="1" thickBot="1">
      <c r="A4" s="98"/>
      <c r="B4" s="99"/>
      <c r="C4" s="98"/>
      <c r="D4" s="98"/>
      <c r="E4" s="100"/>
      <c r="F4" s="100"/>
      <c r="G4" s="100"/>
      <c r="H4" s="492" t="s">
        <v>149</v>
      </c>
      <c r="I4" s="492"/>
      <c r="J4" s="97"/>
    </row>
    <row r="5" spans="1:14" ht="27" customHeight="1">
      <c r="A5" s="493" t="s">
        <v>48</v>
      </c>
      <c r="B5" s="494" t="s">
        <v>362</v>
      </c>
      <c r="C5" s="494" t="s">
        <v>335</v>
      </c>
      <c r="D5" s="494" t="s">
        <v>51</v>
      </c>
      <c r="E5" s="495" t="s">
        <v>336</v>
      </c>
      <c r="F5" s="495"/>
      <c r="G5" s="495" t="s">
        <v>52</v>
      </c>
      <c r="H5" s="495" t="s">
        <v>507</v>
      </c>
      <c r="I5" s="496" t="s">
        <v>144</v>
      </c>
      <c r="J5" s="97"/>
      <c r="N5" s="1"/>
    </row>
    <row r="6" spans="1:14" ht="45.75" customHeight="1">
      <c r="A6" s="497"/>
      <c r="B6" s="488"/>
      <c r="C6" s="488"/>
      <c r="D6" s="488"/>
      <c r="E6" s="322" t="s">
        <v>50</v>
      </c>
      <c r="F6" s="322" t="s">
        <v>312</v>
      </c>
      <c r="G6" s="489"/>
      <c r="H6" s="489"/>
      <c r="I6" s="498"/>
      <c r="J6" s="97"/>
      <c r="N6" s="1"/>
    </row>
    <row r="7" spans="1:13" s="23" customFormat="1" ht="28.5" customHeight="1">
      <c r="A7" s="328"/>
      <c r="B7" s="502" t="s">
        <v>566</v>
      </c>
      <c r="C7" s="352"/>
      <c r="D7" s="352"/>
      <c r="E7" s="322"/>
      <c r="F7" s="322">
        <f>SUM(F8:F11)</f>
        <v>6859152</v>
      </c>
      <c r="G7" s="322">
        <f>SUM(G8:G11)</f>
        <v>3006300</v>
      </c>
      <c r="H7" s="322">
        <f>SUM(H8:H11)</f>
        <v>3000000</v>
      </c>
      <c r="I7" s="499"/>
      <c r="J7" s="97"/>
      <c r="K7" s="97"/>
      <c r="L7" s="102"/>
      <c r="M7" s="102"/>
    </row>
    <row r="8" spans="1:13" s="41" customFormat="1" ht="39.75" customHeight="1">
      <c r="A8" s="330">
        <v>1</v>
      </c>
      <c r="B8" s="491" t="s">
        <v>430</v>
      </c>
      <c r="C8" s="490" t="s">
        <v>54</v>
      </c>
      <c r="D8" s="490" t="s">
        <v>236</v>
      </c>
      <c r="E8" s="326" t="s">
        <v>49</v>
      </c>
      <c r="F8" s="340">
        <v>1748331</v>
      </c>
      <c r="G8" s="340">
        <v>830000</v>
      </c>
      <c r="H8" s="340">
        <v>760396</v>
      </c>
      <c r="I8" s="503"/>
      <c r="J8" s="97"/>
      <c r="K8" s="97"/>
      <c r="L8" s="103"/>
      <c r="M8" s="103"/>
    </row>
    <row r="9" spans="1:13" s="41" customFormat="1" ht="39.75" customHeight="1">
      <c r="A9" s="330">
        <v>2</v>
      </c>
      <c r="B9" s="491" t="s">
        <v>53</v>
      </c>
      <c r="C9" s="490" t="s">
        <v>55</v>
      </c>
      <c r="D9" s="490" t="s">
        <v>236</v>
      </c>
      <c r="E9" s="326" t="s">
        <v>56</v>
      </c>
      <c r="F9" s="340">
        <v>1258138</v>
      </c>
      <c r="G9" s="340">
        <v>506300</v>
      </c>
      <c r="H9" s="340">
        <v>696940</v>
      </c>
      <c r="I9" s="503"/>
      <c r="J9" s="97"/>
      <c r="K9" s="97"/>
      <c r="L9" s="103"/>
      <c r="M9" s="103"/>
    </row>
    <row r="10" spans="1:13" s="41" customFormat="1" ht="41.25" customHeight="1">
      <c r="A10" s="330">
        <v>3</v>
      </c>
      <c r="B10" s="491" t="s">
        <v>431</v>
      </c>
      <c r="C10" s="490" t="s">
        <v>25</v>
      </c>
      <c r="D10" s="490" t="s">
        <v>236</v>
      </c>
      <c r="E10" s="326" t="s">
        <v>57</v>
      </c>
      <c r="F10" s="340">
        <v>1495428</v>
      </c>
      <c r="G10" s="340">
        <v>700000</v>
      </c>
      <c r="H10" s="340">
        <v>723748</v>
      </c>
      <c r="I10" s="503"/>
      <c r="J10" s="97"/>
      <c r="K10" s="97"/>
      <c r="L10" s="103"/>
      <c r="M10" s="103"/>
    </row>
    <row r="11" spans="1:13" s="41" customFormat="1" ht="39" customHeight="1" thickBot="1">
      <c r="A11" s="332">
        <v>4</v>
      </c>
      <c r="B11" s="500" t="s">
        <v>432</v>
      </c>
      <c r="C11" s="501" t="s">
        <v>23</v>
      </c>
      <c r="D11" s="501" t="s">
        <v>236</v>
      </c>
      <c r="E11" s="334" t="s">
        <v>58</v>
      </c>
      <c r="F11" s="341">
        <v>2357255</v>
      </c>
      <c r="G11" s="341">
        <v>970000</v>
      </c>
      <c r="H11" s="341">
        <v>818916</v>
      </c>
      <c r="I11" s="504"/>
      <c r="J11" s="134"/>
      <c r="K11" s="97"/>
      <c r="L11" s="103"/>
      <c r="M11" s="103"/>
    </row>
  </sheetData>
  <sheetProtection/>
  <mergeCells count="13">
    <mergeCell ref="G5:G6"/>
    <mergeCell ref="H5:H6"/>
    <mergeCell ref="H4:I4"/>
    <mergeCell ref="I5:I6"/>
    <mergeCell ref="I8:I10"/>
    <mergeCell ref="A1:I1"/>
    <mergeCell ref="A2:I2"/>
    <mergeCell ref="A3:I3"/>
    <mergeCell ref="A5:A6"/>
    <mergeCell ref="B5:B6"/>
    <mergeCell ref="C5:C6"/>
    <mergeCell ref="D5:D6"/>
    <mergeCell ref="E5:F5"/>
  </mergeCells>
  <printOptions horizontalCentered="1"/>
  <pageMargins left="0" right="0" top="0.5" bottom="0.5" header="0.3" footer="0.3"/>
  <pageSetup horizontalDpi="600" verticalDpi="600" orientation="landscape" paperSize="9" scale="90" r:id="rId1"/>
  <headerFooter alignWithMargins="0">
    <oddFooter>&amp;CPage &amp;P</oddFooter>
  </headerFooter>
</worksheet>
</file>

<file path=xl/worksheets/sheet11.xml><?xml version="1.0" encoding="utf-8"?>
<worksheet xmlns="http://schemas.openxmlformats.org/spreadsheetml/2006/main" xmlns:r="http://schemas.openxmlformats.org/officeDocument/2006/relationships">
  <dimension ref="A1:L16"/>
  <sheetViews>
    <sheetView zoomScalePageLayoutView="0" workbookViewId="0" topLeftCell="A1">
      <selection activeCell="B5" sqref="B5"/>
    </sheetView>
  </sheetViews>
  <sheetFormatPr defaultColWidth="7.99609375" defaultRowHeight="16.5"/>
  <cols>
    <col min="1" max="1" width="4.99609375" style="110" customWidth="1"/>
    <col min="2" max="2" width="54.88671875" style="111" customWidth="1"/>
    <col min="3" max="3" width="24.77734375" style="112" customWidth="1"/>
    <col min="4" max="4" width="11.88671875" style="112" customWidth="1"/>
    <col min="5" max="5" width="18.77734375" style="109" customWidth="1"/>
    <col min="6" max="16384" width="7.99609375" style="109" customWidth="1"/>
  </cols>
  <sheetData>
    <row r="1" spans="1:5" s="108" customFormat="1" ht="18.75">
      <c r="A1" s="530" t="s">
        <v>59</v>
      </c>
      <c r="B1" s="530"/>
      <c r="C1" s="530"/>
      <c r="D1" s="530"/>
      <c r="E1" s="530"/>
    </row>
    <row r="2" spans="1:5" ht="21" customHeight="1">
      <c r="A2" s="530" t="s">
        <v>509</v>
      </c>
      <c r="B2" s="530"/>
      <c r="C2" s="530"/>
      <c r="D2" s="530"/>
      <c r="E2" s="530"/>
    </row>
    <row r="3" spans="1:5" ht="23.25" customHeight="1">
      <c r="A3" s="531" t="str">
        <f>'Biểu 06'!A3:J3</f>
        <v>(Kèm theo Nghị quyết số 86/NĐ-HĐND ngày 18 tháng 12 năm 2015 của HĐND huyện Sông Mã)</v>
      </c>
      <c r="B3" s="531"/>
      <c r="C3" s="531"/>
      <c r="D3" s="531"/>
      <c r="E3" s="531"/>
    </row>
    <row r="4" spans="4:5" ht="30.75" customHeight="1" thickBot="1">
      <c r="D4" s="506"/>
      <c r="E4" s="458" t="s">
        <v>149</v>
      </c>
    </row>
    <row r="5" spans="1:5" ht="54.75" customHeight="1">
      <c r="A5" s="507" t="s">
        <v>97</v>
      </c>
      <c r="B5" s="508" t="s">
        <v>121</v>
      </c>
      <c r="C5" s="509" t="s">
        <v>364</v>
      </c>
      <c r="D5" s="509" t="s">
        <v>508</v>
      </c>
      <c r="E5" s="510" t="s">
        <v>144</v>
      </c>
    </row>
    <row r="6" spans="1:5" s="113" customFormat="1" ht="31.5" customHeight="1">
      <c r="A6" s="511"/>
      <c r="B6" s="532" t="s">
        <v>524</v>
      </c>
      <c r="C6" s="512"/>
      <c r="D6" s="513">
        <f>SUM(D7:D14)</f>
        <v>900000</v>
      </c>
      <c r="E6" s="514"/>
    </row>
    <row r="7" spans="1:5" s="113" customFormat="1" ht="25.5" customHeight="1">
      <c r="A7" s="515">
        <v>1</v>
      </c>
      <c r="B7" s="516" t="s">
        <v>365</v>
      </c>
      <c r="C7" s="517" t="s">
        <v>366</v>
      </c>
      <c r="D7" s="518">
        <v>150000</v>
      </c>
      <c r="E7" s="519"/>
    </row>
    <row r="8" spans="1:5" s="113" customFormat="1" ht="33" customHeight="1">
      <c r="A8" s="515">
        <v>2</v>
      </c>
      <c r="B8" s="516" t="s">
        <v>433</v>
      </c>
      <c r="C8" s="517" t="s">
        <v>434</v>
      </c>
      <c r="D8" s="518">
        <v>50000</v>
      </c>
      <c r="E8" s="519"/>
    </row>
    <row r="9" spans="1:5" s="113" customFormat="1" ht="49.5" customHeight="1">
      <c r="A9" s="515">
        <v>3</v>
      </c>
      <c r="B9" s="516" t="s">
        <v>435</v>
      </c>
      <c r="C9" s="520" t="s">
        <v>366</v>
      </c>
      <c r="D9" s="518">
        <v>100000</v>
      </c>
      <c r="E9" s="519"/>
    </row>
    <row r="10" spans="1:5" s="113" customFormat="1" ht="25.5" customHeight="1">
      <c r="A10" s="515">
        <v>4</v>
      </c>
      <c r="B10" s="516" t="s">
        <v>436</v>
      </c>
      <c r="C10" s="520"/>
      <c r="D10" s="518">
        <v>7000</v>
      </c>
      <c r="E10" s="521"/>
    </row>
    <row r="11" spans="1:5" s="113" customFormat="1" ht="25.5" customHeight="1">
      <c r="A11" s="515">
        <v>5</v>
      </c>
      <c r="B11" s="516" t="s">
        <v>437</v>
      </c>
      <c r="C11" s="520"/>
      <c r="D11" s="518">
        <v>60000</v>
      </c>
      <c r="E11" s="521"/>
    </row>
    <row r="12" spans="1:5" s="142" customFormat="1" ht="36" customHeight="1">
      <c r="A12" s="515">
        <v>6</v>
      </c>
      <c r="B12" s="522" t="s">
        <v>518</v>
      </c>
      <c r="C12" s="520"/>
      <c r="D12" s="523">
        <v>30000</v>
      </c>
      <c r="E12" s="521"/>
    </row>
    <row r="13" spans="1:5" s="113" customFormat="1" ht="33.75" customHeight="1">
      <c r="A13" s="515">
        <v>7</v>
      </c>
      <c r="B13" s="516" t="s">
        <v>398</v>
      </c>
      <c r="C13" s="517" t="s">
        <v>438</v>
      </c>
      <c r="D13" s="518">
        <f>350000+98000+2000</f>
        <v>450000</v>
      </c>
      <c r="E13" s="524" t="s">
        <v>599</v>
      </c>
    </row>
    <row r="14" spans="1:5" s="113" customFormat="1" ht="25.5" customHeight="1" thickBot="1">
      <c r="A14" s="525">
        <v>8</v>
      </c>
      <c r="B14" s="526" t="s">
        <v>439</v>
      </c>
      <c r="C14" s="527"/>
      <c r="D14" s="528">
        <v>53000</v>
      </c>
      <c r="E14" s="529"/>
    </row>
    <row r="15" spans="1:5" s="113" customFormat="1" ht="20.25" customHeight="1">
      <c r="A15" s="114"/>
      <c r="B15" s="114"/>
      <c r="C15" s="115"/>
      <c r="D15" s="115"/>
      <c r="E15" s="116"/>
    </row>
    <row r="16" spans="1:12" ht="20.25" customHeight="1">
      <c r="A16" s="247" t="s">
        <v>488</v>
      </c>
      <c r="B16" s="247"/>
      <c r="C16" s="247"/>
      <c r="D16" s="247"/>
      <c r="E16" s="247"/>
      <c r="F16" s="107"/>
      <c r="G16" s="107"/>
      <c r="H16" s="107"/>
      <c r="I16" s="107"/>
      <c r="J16" s="107"/>
      <c r="K16" s="107"/>
      <c r="L16" s="107"/>
    </row>
  </sheetData>
  <sheetProtection/>
  <mergeCells count="5">
    <mergeCell ref="A16:E16"/>
    <mergeCell ref="A1:E1"/>
    <mergeCell ref="A2:E2"/>
    <mergeCell ref="A3:E3"/>
    <mergeCell ref="C9:C12"/>
  </mergeCells>
  <printOptions horizontalCentered="1"/>
  <pageMargins left="0" right="0" top="0.5" bottom="0.5" header="0.3" footer="0.3"/>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1:M44"/>
  <sheetViews>
    <sheetView zoomScalePageLayoutView="0" workbookViewId="0" topLeftCell="A1">
      <pane xSplit="2" ySplit="6" topLeftCell="C7" activePane="bottomRight" state="frozen"/>
      <selection pane="topLeft" activeCell="B11" sqref="B11"/>
      <selection pane="topRight" activeCell="B11" sqref="B11"/>
      <selection pane="bottomLeft" activeCell="B11" sqref="B11"/>
      <selection pane="bottomRight" activeCell="B7" sqref="B7"/>
    </sheetView>
  </sheetViews>
  <sheetFormatPr defaultColWidth="8.88671875" defaultRowHeight="16.5"/>
  <cols>
    <col min="1" max="1" width="4.77734375" style="10" customWidth="1"/>
    <col min="2" max="2" width="46.99609375" style="10" customWidth="1"/>
    <col min="3" max="3" width="7.5546875" style="10" customWidth="1"/>
    <col min="4" max="4" width="9.6640625" style="10" customWidth="1"/>
    <col min="5" max="5" width="12.21484375" style="26" customWidth="1"/>
    <col min="6" max="6" width="11.5546875" style="26" customWidth="1"/>
    <col min="7" max="7" width="11.77734375" style="26" customWidth="1"/>
    <col min="8" max="8" width="10.21484375" style="26" customWidth="1"/>
    <col min="9" max="9" width="11.99609375" style="10" customWidth="1"/>
    <col min="10" max="10" width="7.99609375" style="10" customWidth="1"/>
    <col min="11" max="11" width="10.99609375" style="10" customWidth="1"/>
    <col min="12" max="12" width="12.5546875" style="20" customWidth="1"/>
    <col min="13" max="13" width="8.99609375" style="10" customWidth="1"/>
    <col min="14" max="16384" width="8.88671875" style="10" customWidth="1"/>
  </cols>
  <sheetData>
    <row r="1" spans="1:13" ht="16.5" customHeight="1">
      <c r="A1" s="236" t="s">
        <v>60</v>
      </c>
      <c r="B1" s="236"/>
      <c r="C1" s="236"/>
      <c r="D1" s="236"/>
      <c r="E1" s="236"/>
      <c r="F1" s="236"/>
      <c r="G1" s="236"/>
      <c r="H1" s="236"/>
      <c r="I1" s="236"/>
      <c r="J1" s="236"/>
      <c r="K1" s="151"/>
      <c r="L1" s="151"/>
      <c r="M1" s="22"/>
    </row>
    <row r="2" spans="1:13" ht="21" customHeight="1">
      <c r="A2" s="248" t="s">
        <v>510</v>
      </c>
      <c r="B2" s="248"/>
      <c r="C2" s="248"/>
      <c r="D2" s="248"/>
      <c r="E2" s="248"/>
      <c r="F2" s="248"/>
      <c r="G2" s="248"/>
      <c r="H2" s="248"/>
      <c r="I2" s="248"/>
      <c r="J2" s="248"/>
      <c r="K2" s="152"/>
      <c r="L2" s="152"/>
      <c r="M2" s="22"/>
    </row>
    <row r="3" spans="1:13" ht="21" customHeight="1">
      <c r="A3" s="249" t="str">
        <f>'Biểu 07'!A3:E4</f>
        <v>(Kèm theo Nghị quyết số 86/NĐ-HĐND ngày 18 tháng 12 năm 2015 của HĐND huyện Sông Mã)</v>
      </c>
      <c r="B3" s="249"/>
      <c r="C3" s="249"/>
      <c r="D3" s="249"/>
      <c r="E3" s="249"/>
      <c r="F3" s="249"/>
      <c r="G3" s="249"/>
      <c r="H3" s="249"/>
      <c r="I3" s="249"/>
      <c r="J3" s="249"/>
      <c r="K3" s="153"/>
      <c r="L3" s="153"/>
      <c r="M3" s="22"/>
    </row>
    <row r="4" spans="1:12" s="18" customFormat="1" ht="21.75" customHeight="1" thickBot="1">
      <c r="A4" s="28"/>
      <c r="B4" s="56"/>
      <c r="C4" s="29"/>
      <c r="D4" s="30"/>
      <c r="E4" s="38"/>
      <c r="F4" s="38"/>
      <c r="G4" s="38"/>
      <c r="H4" s="38"/>
      <c r="I4" s="533" t="s">
        <v>149</v>
      </c>
      <c r="J4" s="533"/>
      <c r="K4" s="143"/>
      <c r="L4" s="143"/>
    </row>
    <row r="5" spans="1:12" s="144" customFormat="1" ht="19.5" customHeight="1">
      <c r="A5" s="459" t="s">
        <v>97</v>
      </c>
      <c r="B5" s="460" t="s">
        <v>121</v>
      </c>
      <c r="C5" s="460" t="s">
        <v>66</v>
      </c>
      <c r="D5" s="460" t="s">
        <v>232</v>
      </c>
      <c r="E5" s="460" t="s">
        <v>523</v>
      </c>
      <c r="F5" s="460" t="s">
        <v>102</v>
      </c>
      <c r="G5" s="460"/>
      <c r="H5" s="460"/>
      <c r="I5" s="460"/>
      <c r="J5" s="461" t="s">
        <v>144</v>
      </c>
      <c r="K5" s="143"/>
      <c r="L5" s="143"/>
    </row>
    <row r="6" spans="1:12" s="144" customFormat="1" ht="34.5" customHeight="1">
      <c r="A6" s="534"/>
      <c r="B6" s="283"/>
      <c r="C6" s="281"/>
      <c r="D6" s="281"/>
      <c r="E6" s="283"/>
      <c r="F6" s="302" t="s">
        <v>150</v>
      </c>
      <c r="G6" s="284" t="s">
        <v>67</v>
      </c>
      <c r="H6" s="284" t="s">
        <v>233</v>
      </c>
      <c r="I6" s="284" t="s">
        <v>440</v>
      </c>
      <c r="J6" s="462"/>
      <c r="K6" s="143"/>
      <c r="L6" s="143"/>
    </row>
    <row r="7" spans="1:12" s="144" customFormat="1" ht="17.25" customHeight="1">
      <c r="A7" s="289" t="s">
        <v>146</v>
      </c>
      <c r="B7" s="302" t="s">
        <v>145</v>
      </c>
      <c r="C7" s="302">
        <v>1</v>
      </c>
      <c r="D7" s="282">
        <v>2</v>
      </c>
      <c r="E7" s="302" t="s">
        <v>441</v>
      </c>
      <c r="F7" s="302" t="s">
        <v>442</v>
      </c>
      <c r="G7" s="302">
        <v>5</v>
      </c>
      <c r="H7" s="302">
        <v>6</v>
      </c>
      <c r="I7" s="302">
        <v>7</v>
      </c>
      <c r="J7" s="412">
        <v>8</v>
      </c>
      <c r="K7" s="143"/>
      <c r="L7" s="143"/>
    </row>
    <row r="8" spans="1:10" s="144" customFormat="1" ht="24" customHeight="1">
      <c r="A8" s="289"/>
      <c r="B8" s="203" t="s">
        <v>524</v>
      </c>
      <c r="C8" s="541"/>
      <c r="D8" s="542"/>
      <c r="E8" s="543">
        <f>E9+E38</f>
        <v>309858000</v>
      </c>
      <c r="F8" s="543">
        <f>F9+F38</f>
        <v>83309750</v>
      </c>
      <c r="G8" s="543">
        <f>G9+G38</f>
        <v>161633250</v>
      </c>
      <c r="H8" s="543">
        <f>H9+H38</f>
        <v>3690000</v>
      </c>
      <c r="I8" s="543">
        <f>I9+I38</f>
        <v>61225000</v>
      </c>
      <c r="J8" s="544"/>
    </row>
    <row r="9" spans="1:11" s="145" customFormat="1" ht="21.75" customHeight="1">
      <c r="A9" s="535" t="s">
        <v>99</v>
      </c>
      <c r="B9" s="539" t="s">
        <v>61</v>
      </c>
      <c r="C9" s="536"/>
      <c r="D9" s="536"/>
      <c r="E9" s="306">
        <f>SUM(E10,E22,E26,E30,E34:E37)</f>
        <v>308208000</v>
      </c>
      <c r="F9" s="306">
        <f>SUM(F10,F22,F26,F30,F34:F37)</f>
        <v>83183750</v>
      </c>
      <c r="G9" s="306">
        <f>SUM(G10,G22,G26,G30,G34:G37)</f>
        <v>161188250</v>
      </c>
      <c r="H9" s="306">
        <f>SUM(H10,H22,H26,H30,H34:H37)</f>
        <v>3650000</v>
      </c>
      <c r="I9" s="306">
        <f>SUM(I10,I22,I26,I30,I34:I37)</f>
        <v>60186000</v>
      </c>
      <c r="J9" s="545"/>
      <c r="K9" s="143"/>
    </row>
    <row r="10" spans="1:11" s="148" customFormat="1" ht="21.75" customHeight="1">
      <c r="A10" s="291">
        <v>1</v>
      </c>
      <c r="B10" s="537" t="s">
        <v>62</v>
      </c>
      <c r="C10" s="401"/>
      <c r="D10" s="401"/>
      <c r="E10" s="308">
        <f>SUM(E11:E21)</f>
        <v>46319460</v>
      </c>
      <c r="F10" s="308">
        <f>SUM(F11:F21)</f>
        <v>152000</v>
      </c>
      <c r="G10" s="308">
        <f>SUM(G11:G21)</f>
        <v>700460</v>
      </c>
      <c r="H10" s="308">
        <f>SUM(H11:H21)</f>
        <v>30000</v>
      </c>
      <c r="I10" s="308">
        <f>SUM(I11:I21)</f>
        <v>45437000</v>
      </c>
      <c r="J10" s="545"/>
      <c r="K10" s="147"/>
    </row>
    <row r="11" spans="1:11" s="145" customFormat="1" ht="21.75" customHeight="1">
      <c r="A11" s="289"/>
      <c r="B11" s="288" t="s">
        <v>148</v>
      </c>
      <c r="C11" s="401">
        <v>8</v>
      </c>
      <c r="D11" s="308">
        <v>19000</v>
      </c>
      <c r="E11" s="308">
        <f>SUM(F11:I11)</f>
        <v>958300</v>
      </c>
      <c r="F11" s="308">
        <f>+C11*D11</f>
        <v>152000</v>
      </c>
      <c r="G11" s="308">
        <v>656300</v>
      </c>
      <c r="H11" s="308">
        <v>30000</v>
      </c>
      <c r="I11" s="308">
        <v>120000</v>
      </c>
      <c r="J11" s="545"/>
      <c r="K11" s="146"/>
    </row>
    <row r="12" spans="1:11" s="148" customFormat="1" ht="21" customHeight="1">
      <c r="A12" s="291"/>
      <c r="B12" s="537" t="s">
        <v>443</v>
      </c>
      <c r="C12" s="401"/>
      <c r="D12" s="401"/>
      <c r="E12" s="308">
        <f>SUM(F12:I12)</f>
        <v>300000</v>
      </c>
      <c r="F12" s="308"/>
      <c r="G12" s="308"/>
      <c r="H12" s="308"/>
      <c r="I12" s="308">
        <v>300000</v>
      </c>
      <c r="J12" s="545"/>
      <c r="K12" s="147"/>
    </row>
    <row r="13" spans="1:11" s="148" customFormat="1" ht="21" customHeight="1">
      <c r="A13" s="291"/>
      <c r="B13" s="537" t="s">
        <v>321</v>
      </c>
      <c r="C13" s="401"/>
      <c r="D13" s="401"/>
      <c r="E13" s="308">
        <f>SUM(F13:I13)</f>
        <v>425000</v>
      </c>
      <c r="F13" s="308"/>
      <c r="G13" s="308"/>
      <c r="H13" s="308"/>
      <c r="I13" s="308">
        <v>425000</v>
      </c>
      <c r="J13" s="545"/>
      <c r="K13" s="147"/>
    </row>
    <row r="14" spans="1:11" s="148" customFormat="1" ht="21" customHeight="1">
      <c r="A14" s="291"/>
      <c r="B14" s="537" t="s">
        <v>444</v>
      </c>
      <c r="C14" s="401"/>
      <c r="D14" s="401"/>
      <c r="E14" s="308">
        <f>SUM(F14:I14)</f>
        <v>74160</v>
      </c>
      <c r="F14" s="308"/>
      <c r="G14" s="308">
        <f>3.2*1150*12</f>
        <v>44160</v>
      </c>
      <c r="H14" s="308"/>
      <c r="I14" s="308">
        <v>30000</v>
      </c>
      <c r="J14" s="545"/>
      <c r="K14" s="147"/>
    </row>
    <row r="15" spans="1:11" s="148" customFormat="1" ht="21" customHeight="1">
      <c r="A15" s="291"/>
      <c r="B15" s="537" t="s">
        <v>536</v>
      </c>
      <c r="C15" s="401"/>
      <c r="D15" s="401"/>
      <c r="E15" s="308">
        <f aca="true" t="shared" si="0" ref="E15:E21">SUM(F15:I15)</f>
        <v>25000000</v>
      </c>
      <c r="F15" s="308"/>
      <c r="G15" s="308"/>
      <c r="H15" s="308"/>
      <c r="I15" s="308">
        <v>25000000</v>
      </c>
      <c r="J15" s="545"/>
      <c r="K15" s="147"/>
    </row>
    <row r="16" spans="1:11" s="148" customFormat="1" ht="21" customHeight="1">
      <c r="A16" s="291"/>
      <c r="B16" s="537" t="s">
        <v>538</v>
      </c>
      <c r="C16" s="401"/>
      <c r="D16" s="401"/>
      <c r="E16" s="308">
        <f t="shared" si="0"/>
        <v>1600000</v>
      </c>
      <c r="F16" s="308"/>
      <c r="G16" s="308"/>
      <c r="H16" s="308"/>
      <c r="I16" s="308">
        <v>1600000</v>
      </c>
      <c r="J16" s="545"/>
      <c r="K16" s="147"/>
    </row>
    <row r="17" spans="1:11" s="148" customFormat="1" ht="30.75" customHeight="1">
      <c r="A17" s="291"/>
      <c r="B17" s="288" t="s">
        <v>539</v>
      </c>
      <c r="C17" s="401"/>
      <c r="D17" s="401"/>
      <c r="E17" s="308">
        <f>SUM(F17:I17)</f>
        <v>1820000</v>
      </c>
      <c r="F17" s="308"/>
      <c r="G17" s="308"/>
      <c r="H17" s="308"/>
      <c r="I17" s="308">
        <v>1820000</v>
      </c>
      <c r="J17" s="545"/>
      <c r="K17" s="147"/>
    </row>
    <row r="18" spans="1:11" s="148" customFormat="1" ht="21" customHeight="1">
      <c r="A18" s="291"/>
      <c r="B18" s="537" t="s">
        <v>316</v>
      </c>
      <c r="C18" s="401"/>
      <c r="D18" s="401"/>
      <c r="E18" s="308">
        <f>SUM(F18:I18)</f>
        <v>792000</v>
      </c>
      <c r="F18" s="308"/>
      <c r="G18" s="308"/>
      <c r="H18" s="308"/>
      <c r="I18" s="308">
        <v>792000</v>
      </c>
      <c r="J18" s="545"/>
      <c r="K18" s="147"/>
    </row>
    <row r="19" spans="1:11" s="148" customFormat="1" ht="21" customHeight="1">
      <c r="A19" s="291"/>
      <c r="B19" s="537" t="s">
        <v>318</v>
      </c>
      <c r="C19" s="401"/>
      <c r="D19" s="401"/>
      <c r="E19" s="308">
        <f>SUM(F19:I19)</f>
        <v>1000000</v>
      </c>
      <c r="F19" s="308"/>
      <c r="G19" s="308"/>
      <c r="H19" s="308"/>
      <c r="I19" s="308">
        <v>1000000</v>
      </c>
      <c r="J19" s="545"/>
      <c r="K19" s="147"/>
    </row>
    <row r="20" spans="1:11" s="148" customFormat="1" ht="21" customHeight="1">
      <c r="A20" s="291"/>
      <c r="B20" s="537" t="s">
        <v>376</v>
      </c>
      <c r="C20" s="401"/>
      <c r="D20" s="401"/>
      <c r="E20" s="308">
        <f>SUM(F20:I20)</f>
        <v>1160000</v>
      </c>
      <c r="F20" s="308"/>
      <c r="G20" s="308"/>
      <c r="H20" s="308"/>
      <c r="I20" s="308">
        <v>1160000</v>
      </c>
      <c r="J20" s="545"/>
      <c r="K20" s="147"/>
    </row>
    <row r="21" spans="1:11" s="148" customFormat="1" ht="21" customHeight="1">
      <c r="A21" s="291"/>
      <c r="B21" s="537" t="s">
        <v>378</v>
      </c>
      <c r="C21" s="401"/>
      <c r="D21" s="401"/>
      <c r="E21" s="308">
        <f t="shared" si="0"/>
        <v>13190000</v>
      </c>
      <c r="F21" s="308"/>
      <c r="G21" s="308"/>
      <c r="H21" s="308"/>
      <c r="I21" s="308">
        <v>13190000</v>
      </c>
      <c r="J21" s="545"/>
      <c r="K21" s="147"/>
    </row>
    <row r="22" spans="1:11" s="148" customFormat="1" ht="21.75" customHeight="1">
      <c r="A22" s="291">
        <v>2</v>
      </c>
      <c r="B22" s="537" t="s">
        <v>250</v>
      </c>
      <c r="C22" s="401"/>
      <c r="D22" s="401"/>
      <c r="E22" s="308">
        <f>SUM(E23:E25)</f>
        <v>55142500</v>
      </c>
      <c r="F22" s="308">
        <f>SUM(F23:F25)</f>
        <v>21802500</v>
      </c>
      <c r="G22" s="308">
        <f>SUM(G23:G25)</f>
        <v>30614000</v>
      </c>
      <c r="H22" s="308">
        <f>SUM(H23:H25)</f>
        <v>770000</v>
      </c>
      <c r="I22" s="308">
        <f>SUM(I23:I25)</f>
        <v>1956000</v>
      </c>
      <c r="J22" s="545"/>
      <c r="K22" s="147"/>
    </row>
    <row r="23" spans="1:11" s="148" customFormat="1" ht="20.25" customHeight="1">
      <c r="A23" s="291"/>
      <c r="B23" s="537" t="s">
        <v>63</v>
      </c>
      <c r="C23" s="401">
        <v>9690</v>
      </c>
      <c r="D23" s="401">
        <v>2250</v>
      </c>
      <c r="E23" s="308">
        <f>SUM(F23:I23)</f>
        <v>48586500</v>
      </c>
      <c r="F23" s="308">
        <f>C23*D23</f>
        <v>21802500</v>
      </c>
      <c r="G23" s="308">
        <f>47644000-F23-H23-G24+71640+5470860</f>
        <v>26014000</v>
      </c>
      <c r="H23" s="308">
        <v>770000</v>
      </c>
      <c r="I23" s="308"/>
      <c r="J23" s="545"/>
      <c r="K23" s="147"/>
    </row>
    <row r="24" spans="1:11" s="148" customFormat="1" ht="31.5" customHeight="1">
      <c r="A24" s="291"/>
      <c r="B24" s="537" t="s">
        <v>537</v>
      </c>
      <c r="C24" s="401"/>
      <c r="D24" s="401"/>
      <c r="E24" s="308">
        <f>SUM(F24:I24)</f>
        <v>4600000</v>
      </c>
      <c r="F24" s="308"/>
      <c r="G24" s="308">
        <v>4600000</v>
      </c>
      <c r="H24" s="308"/>
      <c r="I24" s="308"/>
      <c r="J24" s="545"/>
      <c r="K24" s="147"/>
    </row>
    <row r="25" spans="1:11" s="148" customFormat="1" ht="20.25" customHeight="1">
      <c r="A25" s="291"/>
      <c r="B25" s="537" t="s">
        <v>445</v>
      </c>
      <c r="C25" s="401"/>
      <c r="D25" s="401"/>
      <c r="E25" s="308">
        <f>SUM(F25:I25)</f>
        <v>1956000</v>
      </c>
      <c r="F25" s="308"/>
      <c r="G25" s="308"/>
      <c r="H25" s="308"/>
      <c r="I25" s="308">
        <v>1956000</v>
      </c>
      <c r="J25" s="545"/>
      <c r="K25" s="147"/>
    </row>
    <row r="26" spans="1:11" s="148" customFormat="1" ht="21.75" customHeight="1">
      <c r="A26" s="291">
        <v>3</v>
      </c>
      <c r="B26" s="537" t="s">
        <v>251</v>
      </c>
      <c r="C26" s="401"/>
      <c r="D26" s="401"/>
      <c r="E26" s="308">
        <f>SUM(E27:E29)</f>
        <v>125598000</v>
      </c>
      <c r="F26" s="308">
        <f>SUM(F27:F29)</f>
        <v>36877500</v>
      </c>
      <c r="G26" s="308">
        <f>SUM(G27:G29)</f>
        <v>83967500</v>
      </c>
      <c r="H26" s="308">
        <f>SUM(H27:H29)</f>
        <v>1790000</v>
      </c>
      <c r="I26" s="308">
        <f>SUM(I27:I29)</f>
        <v>2963000</v>
      </c>
      <c r="J26" s="545"/>
      <c r="K26" s="147"/>
    </row>
    <row r="27" spans="1:11" s="148" customFormat="1" ht="20.25" customHeight="1">
      <c r="A27" s="291"/>
      <c r="B27" s="537" t="s">
        <v>63</v>
      </c>
      <c r="C27" s="401">
        <v>16390</v>
      </c>
      <c r="D27" s="401">
        <v>2250</v>
      </c>
      <c r="E27" s="308">
        <f>SUM(F27:I27)</f>
        <v>111725000</v>
      </c>
      <c r="F27" s="308">
        <f>C27*D27</f>
        <v>36877500</v>
      </c>
      <c r="G27" s="308">
        <f>112115000-F27-H27-G28+10520000</f>
        <v>73057500</v>
      </c>
      <c r="H27" s="308">
        <v>1790000</v>
      </c>
      <c r="I27" s="308"/>
      <c r="J27" s="545"/>
      <c r="K27" s="147"/>
    </row>
    <row r="28" spans="1:11" s="148" customFormat="1" ht="32.25" customHeight="1">
      <c r="A28" s="291"/>
      <c r="B28" s="537" t="s">
        <v>537</v>
      </c>
      <c r="C28" s="401"/>
      <c r="D28" s="401"/>
      <c r="E28" s="308">
        <f>SUM(F28:I28)</f>
        <v>10910000</v>
      </c>
      <c r="F28" s="308"/>
      <c r="G28" s="308">
        <v>10910000</v>
      </c>
      <c r="H28" s="308"/>
      <c r="I28" s="308"/>
      <c r="J28" s="545"/>
      <c r="K28" s="147"/>
    </row>
    <row r="29" spans="1:11" s="148" customFormat="1" ht="20.25" customHeight="1">
      <c r="A29" s="291"/>
      <c r="B29" s="537" t="s">
        <v>445</v>
      </c>
      <c r="C29" s="401"/>
      <c r="D29" s="401"/>
      <c r="E29" s="308">
        <f>SUM(F29:I29)</f>
        <v>2963000</v>
      </c>
      <c r="F29" s="308"/>
      <c r="G29" s="308"/>
      <c r="H29" s="308"/>
      <c r="I29" s="308">
        <v>2963000</v>
      </c>
      <c r="J29" s="545"/>
      <c r="K29" s="147"/>
    </row>
    <row r="30" spans="1:11" s="148" customFormat="1" ht="21.75" customHeight="1">
      <c r="A30" s="291">
        <v>4</v>
      </c>
      <c r="B30" s="537" t="s">
        <v>252</v>
      </c>
      <c r="C30" s="401"/>
      <c r="D30" s="401"/>
      <c r="E30" s="308">
        <f>SUM(E31:E33)</f>
        <v>72383140</v>
      </c>
      <c r="F30" s="308">
        <f>SUM(F31:F33)</f>
        <v>23801750</v>
      </c>
      <c r="G30" s="308">
        <f>SUM(G31:G33)</f>
        <v>45640390</v>
      </c>
      <c r="H30" s="308">
        <f>SUM(H31:H33)</f>
        <v>1050000</v>
      </c>
      <c r="I30" s="308">
        <f>SUM(I31:I33)</f>
        <v>1891000</v>
      </c>
      <c r="J30" s="545"/>
      <c r="K30" s="147"/>
    </row>
    <row r="31" spans="1:11" s="148" customFormat="1" ht="20.25" customHeight="1">
      <c r="A31" s="291"/>
      <c r="B31" s="537" t="s">
        <v>63</v>
      </c>
      <c r="C31" s="401">
        <v>9715</v>
      </c>
      <c r="D31" s="401">
        <v>2450</v>
      </c>
      <c r="E31" s="308">
        <f aca="true" t="shared" si="1" ref="E31:E37">SUM(F31:I31)</f>
        <v>64192140</v>
      </c>
      <c r="F31" s="308">
        <f>C31*D31</f>
        <v>23801750</v>
      </c>
      <c r="G31" s="308">
        <f>64942000-F31-H31-G32+5550140</f>
        <v>39340390</v>
      </c>
      <c r="H31" s="308">
        <v>1050000</v>
      </c>
      <c r="I31" s="308"/>
      <c r="J31" s="545"/>
      <c r="K31" s="147"/>
    </row>
    <row r="32" spans="1:11" s="148" customFormat="1" ht="30" customHeight="1">
      <c r="A32" s="291"/>
      <c r="B32" s="537" t="s">
        <v>537</v>
      </c>
      <c r="C32" s="401"/>
      <c r="D32" s="401"/>
      <c r="E32" s="308">
        <f t="shared" si="1"/>
        <v>6300000</v>
      </c>
      <c r="F32" s="308"/>
      <c r="G32" s="308">
        <v>6300000</v>
      </c>
      <c r="H32" s="308"/>
      <c r="I32" s="308"/>
      <c r="J32" s="545"/>
      <c r="K32" s="147"/>
    </row>
    <row r="33" spans="1:11" s="148" customFormat="1" ht="20.25" customHeight="1">
      <c r="A33" s="291"/>
      <c r="B33" s="537" t="s">
        <v>445</v>
      </c>
      <c r="C33" s="401"/>
      <c r="D33" s="401"/>
      <c r="E33" s="308">
        <f t="shared" si="1"/>
        <v>1891000</v>
      </c>
      <c r="F33" s="308"/>
      <c r="G33" s="308"/>
      <c r="H33" s="308"/>
      <c r="I33" s="308">
        <v>1891000</v>
      </c>
      <c r="J33" s="545"/>
      <c r="K33" s="147"/>
    </row>
    <row r="34" spans="1:11" s="148" customFormat="1" ht="23.25" customHeight="1">
      <c r="A34" s="291">
        <v>5</v>
      </c>
      <c r="B34" s="537" t="s">
        <v>287</v>
      </c>
      <c r="C34" s="401">
        <v>11</v>
      </c>
      <c r="D34" s="401">
        <v>50000</v>
      </c>
      <c r="E34" s="308">
        <f t="shared" si="1"/>
        <v>825900</v>
      </c>
      <c r="F34" s="308">
        <f>+D34*C34</f>
        <v>550000</v>
      </c>
      <c r="G34" s="308">
        <f>650900-F34-H34+175000</f>
        <v>265900</v>
      </c>
      <c r="H34" s="308">
        <v>10000</v>
      </c>
      <c r="I34" s="308"/>
      <c r="J34" s="545"/>
      <c r="K34" s="147"/>
    </row>
    <row r="35" spans="1:11" s="148" customFormat="1" ht="24" customHeight="1">
      <c r="A35" s="291">
        <v>6</v>
      </c>
      <c r="B35" s="288" t="s">
        <v>573</v>
      </c>
      <c r="C35" s="401"/>
      <c r="D35" s="401"/>
      <c r="E35" s="308">
        <f t="shared" si="1"/>
        <v>5450000</v>
      </c>
      <c r="F35" s="308"/>
      <c r="G35" s="308"/>
      <c r="H35" s="308"/>
      <c r="I35" s="308">
        <f>5450000</f>
        <v>5450000</v>
      </c>
      <c r="J35" s="545"/>
      <c r="K35" s="147"/>
    </row>
    <row r="36" spans="1:11" s="148" customFormat="1" ht="23.25" customHeight="1">
      <c r="A36" s="291">
        <v>7</v>
      </c>
      <c r="B36" s="537" t="s">
        <v>160</v>
      </c>
      <c r="C36" s="401"/>
      <c r="D36" s="401"/>
      <c r="E36" s="308">
        <f t="shared" si="1"/>
        <v>780000</v>
      </c>
      <c r="F36" s="308"/>
      <c r="G36" s="308"/>
      <c r="H36" s="308"/>
      <c r="I36" s="308">
        <v>780000</v>
      </c>
      <c r="J36" s="545"/>
      <c r="K36" s="147"/>
    </row>
    <row r="37" spans="1:11" s="148" customFormat="1" ht="23.25" customHeight="1">
      <c r="A37" s="291">
        <v>8</v>
      </c>
      <c r="B37" s="537" t="s">
        <v>446</v>
      </c>
      <c r="C37" s="401"/>
      <c r="D37" s="401"/>
      <c r="E37" s="308">
        <f t="shared" si="1"/>
        <v>1709000</v>
      </c>
      <c r="F37" s="308"/>
      <c r="G37" s="308"/>
      <c r="H37" s="308"/>
      <c r="I37" s="308">
        <f>1659000+50000</f>
        <v>1709000</v>
      </c>
      <c r="J37" s="545"/>
      <c r="K37" s="147"/>
    </row>
    <row r="38" spans="1:11" s="145" customFormat="1" ht="21.75" customHeight="1">
      <c r="A38" s="289" t="s">
        <v>100</v>
      </c>
      <c r="B38" s="540" t="s">
        <v>64</v>
      </c>
      <c r="C38" s="536"/>
      <c r="D38" s="536"/>
      <c r="E38" s="306">
        <f>SUM(E39:E42)</f>
        <v>1650000</v>
      </c>
      <c r="F38" s="306">
        <f>SUM(F39:F42)</f>
        <v>126000</v>
      </c>
      <c r="G38" s="306">
        <f>SUM(G39:G42)</f>
        <v>445000</v>
      </c>
      <c r="H38" s="306">
        <f>SUM(H39:H42)</f>
        <v>40000</v>
      </c>
      <c r="I38" s="306">
        <f>SUM(I39:I42)</f>
        <v>1039000</v>
      </c>
      <c r="J38" s="546"/>
      <c r="K38" s="146"/>
    </row>
    <row r="39" spans="1:11" s="148" customFormat="1" ht="18.75" customHeight="1">
      <c r="A39" s="291">
        <v>1</v>
      </c>
      <c r="B39" s="537" t="s">
        <v>140</v>
      </c>
      <c r="C39" s="401">
        <v>6</v>
      </c>
      <c r="D39" s="401">
        <v>21000</v>
      </c>
      <c r="E39" s="308">
        <f>SUM(F39:I39)</f>
        <v>651000</v>
      </c>
      <c r="F39" s="308">
        <f>C39*D39</f>
        <v>126000</v>
      </c>
      <c r="G39" s="308">
        <f>445000</f>
        <v>445000</v>
      </c>
      <c r="H39" s="308">
        <v>40000</v>
      </c>
      <c r="I39" s="308">
        <v>40000</v>
      </c>
      <c r="J39" s="545"/>
      <c r="K39" s="149"/>
    </row>
    <row r="40" spans="1:11" s="148" customFormat="1" ht="18.75" customHeight="1">
      <c r="A40" s="291">
        <v>2</v>
      </c>
      <c r="B40" s="288" t="s">
        <v>447</v>
      </c>
      <c r="C40" s="401"/>
      <c r="D40" s="401"/>
      <c r="E40" s="308">
        <f>SUM(F40:I40)</f>
        <v>959000</v>
      </c>
      <c r="F40" s="308"/>
      <c r="G40" s="308"/>
      <c r="H40" s="308"/>
      <c r="I40" s="308">
        <f>989000-30000</f>
        <v>959000</v>
      </c>
      <c r="J40" s="545"/>
      <c r="K40" s="147"/>
    </row>
    <row r="41" spans="1:11" s="148" customFormat="1" ht="18.75" customHeight="1">
      <c r="A41" s="291">
        <v>3</v>
      </c>
      <c r="B41" s="288" t="s">
        <v>160</v>
      </c>
      <c r="C41" s="401"/>
      <c r="D41" s="401"/>
      <c r="E41" s="308">
        <v>10000</v>
      </c>
      <c r="F41" s="308"/>
      <c r="G41" s="308"/>
      <c r="H41" s="308"/>
      <c r="I41" s="308">
        <v>10000</v>
      </c>
      <c r="J41" s="545"/>
      <c r="K41" s="147"/>
    </row>
    <row r="42" spans="1:10" s="148" customFormat="1" ht="18.75" customHeight="1" thickBot="1">
      <c r="A42" s="316">
        <v>4</v>
      </c>
      <c r="B42" s="317" t="s">
        <v>446</v>
      </c>
      <c r="C42" s="403"/>
      <c r="D42" s="403"/>
      <c r="E42" s="538">
        <f>SUM(F42:I42)</f>
        <v>30000</v>
      </c>
      <c r="F42" s="538"/>
      <c r="G42" s="538"/>
      <c r="H42" s="538"/>
      <c r="I42" s="538">
        <v>30000</v>
      </c>
      <c r="J42" s="547"/>
    </row>
    <row r="43" spans="1:11" s="32" customFormat="1" ht="21.75" customHeight="1">
      <c r="A43" s="41"/>
      <c r="B43" s="154" t="s">
        <v>46</v>
      </c>
      <c r="J43" s="150"/>
      <c r="K43" s="37"/>
    </row>
    <row r="44" spans="1:11" s="32" customFormat="1" ht="16.5">
      <c r="A44" s="41"/>
      <c r="B44" s="250" t="s">
        <v>65</v>
      </c>
      <c r="C44" s="250"/>
      <c r="D44" s="250"/>
      <c r="E44" s="250"/>
      <c r="F44" s="250"/>
      <c r="G44" s="250"/>
      <c r="H44" s="250"/>
      <c r="I44" s="250"/>
      <c r="J44" s="250"/>
      <c r="K44" s="250"/>
    </row>
  </sheetData>
  <sheetProtection/>
  <mergeCells count="12">
    <mergeCell ref="B44:K44"/>
    <mergeCell ref="D5:D6"/>
    <mergeCell ref="C5:C6"/>
    <mergeCell ref="J5:J6"/>
    <mergeCell ref="A5:A6"/>
    <mergeCell ref="I4:J4"/>
    <mergeCell ref="A1:J1"/>
    <mergeCell ref="A2:J2"/>
    <mergeCell ref="A3:J3"/>
    <mergeCell ref="B5:B6"/>
    <mergeCell ref="E5:E6"/>
    <mergeCell ref="F5:I5"/>
  </mergeCells>
  <printOptions horizontalCentered="1"/>
  <pageMargins left="0" right="0" top="0.5" bottom="0.5" header="0.5" footer="0.5"/>
  <pageSetup horizontalDpi="600" verticalDpi="600" orientation="landscape" paperSize="9" scale="90" r:id="rId1"/>
  <headerFooter alignWithMargins="0">
    <oddFooter>&amp;CPage &amp;P</oddFooter>
  </headerFooter>
</worksheet>
</file>

<file path=xl/worksheets/sheet13.xml><?xml version="1.0" encoding="utf-8"?>
<worksheet xmlns="http://schemas.openxmlformats.org/spreadsheetml/2006/main" xmlns:r="http://schemas.openxmlformats.org/officeDocument/2006/relationships">
  <dimension ref="A1:O34"/>
  <sheetViews>
    <sheetView zoomScalePageLayoutView="0" workbookViewId="0" topLeftCell="A1">
      <pane xSplit="2" ySplit="6" topLeftCell="C7" activePane="bottomRight" state="frozen"/>
      <selection pane="topLeft" activeCell="B11" sqref="B11"/>
      <selection pane="topRight" activeCell="B11" sqref="B11"/>
      <selection pane="bottomLeft" activeCell="B11" sqref="B11"/>
      <selection pane="bottomRight" activeCell="G16" sqref="G16"/>
    </sheetView>
  </sheetViews>
  <sheetFormatPr defaultColWidth="8.88671875" defaultRowHeight="16.5"/>
  <cols>
    <col min="1" max="1" width="4.77734375" style="22" customWidth="1"/>
    <col min="2" max="2" width="38.5546875" style="22" customWidth="1"/>
    <col min="3" max="3" width="9.99609375" style="22" customWidth="1"/>
    <col min="4" max="4" width="8.77734375" style="22" customWidth="1"/>
    <col min="5" max="5" width="10.99609375" style="22" customWidth="1"/>
    <col min="6" max="6" width="11.88671875" style="22" customWidth="1"/>
    <col min="7" max="7" width="11.3359375" style="22" customWidth="1"/>
    <col min="8" max="8" width="10.4453125" style="22" customWidth="1"/>
    <col min="9" max="9" width="11.5546875" style="22" customWidth="1"/>
    <col min="10" max="10" width="15.3359375" style="22" customWidth="1"/>
    <col min="11" max="11" width="16.4453125" style="22" customWidth="1"/>
    <col min="12" max="16384" width="8.88671875" style="22" customWidth="1"/>
  </cols>
  <sheetData>
    <row r="1" spans="1:10" ht="16.5" customHeight="1">
      <c r="A1" s="548" t="s">
        <v>285</v>
      </c>
      <c r="B1" s="548"/>
      <c r="C1" s="548"/>
      <c r="D1" s="548"/>
      <c r="E1" s="548"/>
      <c r="F1" s="548"/>
      <c r="G1" s="548"/>
      <c r="H1" s="548"/>
      <c r="I1" s="548"/>
      <c r="J1" s="548"/>
    </row>
    <row r="2" spans="1:12" ht="21" customHeight="1">
      <c r="A2" s="251" t="s">
        <v>511</v>
      </c>
      <c r="B2" s="251"/>
      <c r="C2" s="251"/>
      <c r="D2" s="251"/>
      <c r="E2" s="251"/>
      <c r="F2" s="251"/>
      <c r="G2" s="251"/>
      <c r="H2" s="251"/>
      <c r="I2" s="251"/>
      <c r="J2" s="251"/>
      <c r="K2" s="42"/>
      <c r="L2" s="42"/>
    </row>
    <row r="3" spans="1:10" ht="21" customHeight="1">
      <c r="A3" s="252" t="str">
        <f>'Biểu 08'!A3:L3</f>
        <v>(Kèm theo Nghị quyết số 86/NĐ-HĐND ngày 18 tháng 12 năm 2015 của HĐND huyện Sông Mã)</v>
      </c>
      <c r="B3" s="252"/>
      <c r="C3" s="252"/>
      <c r="D3" s="252"/>
      <c r="E3" s="252"/>
      <c r="F3" s="252"/>
      <c r="G3" s="252"/>
      <c r="H3" s="252"/>
      <c r="I3" s="252"/>
      <c r="J3" s="252"/>
    </row>
    <row r="4" spans="1:10" s="18" customFormat="1" ht="21.75" customHeight="1" thickBot="1">
      <c r="A4" s="28"/>
      <c r="B4" s="56"/>
      <c r="C4" s="29"/>
      <c r="D4" s="30"/>
      <c r="E4" s="31"/>
      <c r="F4" s="31"/>
      <c r="G4" s="31"/>
      <c r="H4" s="31"/>
      <c r="I4" s="31"/>
      <c r="J4" s="57" t="s">
        <v>149</v>
      </c>
    </row>
    <row r="5" spans="1:11" s="14" customFormat="1" ht="19.5" customHeight="1">
      <c r="A5" s="549" t="s">
        <v>97</v>
      </c>
      <c r="B5" s="550" t="s">
        <v>159</v>
      </c>
      <c r="C5" s="550" t="s">
        <v>288</v>
      </c>
      <c r="D5" s="550" t="s">
        <v>232</v>
      </c>
      <c r="E5" s="550" t="s">
        <v>523</v>
      </c>
      <c r="F5" s="550" t="s">
        <v>102</v>
      </c>
      <c r="G5" s="550"/>
      <c r="H5" s="550"/>
      <c r="I5" s="550"/>
      <c r="J5" s="551" t="s">
        <v>144</v>
      </c>
      <c r="K5" s="125"/>
    </row>
    <row r="6" spans="1:11" s="119" customFormat="1" ht="38.25" customHeight="1">
      <c r="A6" s="409"/>
      <c r="B6" s="369"/>
      <c r="C6" s="552"/>
      <c r="D6" s="552"/>
      <c r="E6" s="369"/>
      <c r="F6" s="411" t="s">
        <v>150</v>
      </c>
      <c r="G6" s="411" t="s">
        <v>67</v>
      </c>
      <c r="H6" s="372" t="s">
        <v>233</v>
      </c>
      <c r="I6" s="284" t="s">
        <v>440</v>
      </c>
      <c r="J6" s="553"/>
      <c r="K6" s="118"/>
    </row>
    <row r="7" spans="1:11" s="14" customFormat="1" ht="18.75" customHeight="1">
      <c r="A7" s="554" t="s">
        <v>146</v>
      </c>
      <c r="B7" s="411" t="s">
        <v>145</v>
      </c>
      <c r="C7" s="411">
        <v>1</v>
      </c>
      <c r="D7" s="186">
        <v>2</v>
      </c>
      <c r="E7" s="411" t="s">
        <v>441</v>
      </c>
      <c r="F7" s="411" t="s">
        <v>442</v>
      </c>
      <c r="G7" s="411">
        <v>5</v>
      </c>
      <c r="H7" s="411">
        <v>6</v>
      </c>
      <c r="I7" s="411">
        <v>7</v>
      </c>
      <c r="J7" s="555">
        <v>8</v>
      </c>
      <c r="K7" s="125"/>
    </row>
    <row r="8" spans="1:10" s="11" customFormat="1" ht="22.5" customHeight="1">
      <c r="A8" s="554"/>
      <c r="B8" s="367" t="s">
        <v>524</v>
      </c>
      <c r="C8" s="399"/>
      <c r="D8" s="556"/>
      <c r="E8" s="556">
        <f>SUM(E9,E14,E19,E23:E24,E26)</f>
        <v>29884660</v>
      </c>
      <c r="F8" s="556">
        <f>SUM(F9,F14,F19,F23:F24,F26)</f>
        <v>12475000</v>
      </c>
      <c r="G8" s="556">
        <f>SUM(G9,G14,G19,G23:G24,G26)</f>
        <v>14018200</v>
      </c>
      <c r="H8" s="556">
        <f>SUM(H9,H14,H19,H23:H24,H26)</f>
        <v>250000</v>
      </c>
      <c r="I8" s="556">
        <f>SUM(I9,I14,I19,I23:I24,I26)</f>
        <v>3141460</v>
      </c>
      <c r="J8" s="389"/>
    </row>
    <row r="9" spans="1:10" s="12" customFormat="1" ht="20.25" customHeight="1">
      <c r="A9" s="558">
        <v>1</v>
      </c>
      <c r="B9" s="559" t="s">
        <v>228</v>
      </c>
      <c r="C9" s="377"/>
      <c r="D9" s="505"/>
      <c r="E9" s="505">
        <f>E10+E13</f>
        <v>11209700</v>
      </c>
      <c r="F9" s="505">
        <f>F10+F13</f>
        <v>8250000</v>
      </c>
      <c r="G9" s="505">
        <f>G10+G13</f>
        <v>2790000</v>
      </c>
      <c r="H9" s="505">
        <f>H10+H13</f>
        <v>0</v>
      </c>
      <c r="I9" s="505">
        <f>I10+I13</f>
        <v>169700</v>
      </c>
      <c r="J9" s="389"/>
    </row>
    <row r="10" spans="1:10" s="1" customFormat="1" ht="20.25" customHeight="1">
      <c r="A10" s="558" t="s">
        <v>292</v>
      </c>
      <c r="B10" s="559" t="s">
        <v>448</v>
      </c>
      <c r="C10" s="377"/>
      <c r="D10" s="505"/>
      <c r="E10" s="505">
        <f>SUM(E11:E12)</f>
        <v>11040000</v>
      </c>
      <c r="F10" s="505">
        <f>SUM(F11:F12)</f>
        <v>8250000</v>
      </c>
      <c r="G10" s="505">
        <f>SUM(G11:G12)</f>
        <v>2790000</v>
      </c>
      <c r="H10" s="505">
        <f>SUM(H11:H12)</f>
        <v>0</v>
      </c>
      <c r="I10" s="505">
        <f>SUM(I11:I12)</f>
        <v>0</v>
      </c>
      <c r="J10" s="389"/>
    </row>
    <row r="11" spans="1:11" s="15" customFormat="1" ht="20.25" customHeight="1">
      <c r="A11" s="558"/>
      <c r="B11" s="559" t="s">
        <v>234</v>
      </c>
      <c r="C11" s="560">
        <v>160</v>
      </c>
      <c r="D11" s="561">
        <v>45000</v>
      </c>
      <c r="E11" s="505">
        <f>SUM(F11:I11)</f>
        <v>9990000</v>
      </c>
      <c r="F11" s="505">
        <f>C11*D11</f>
        <v>7200000</v>
      </c>
      <c r="G11" s="561">
        <f>11040000-8250000</f>
        <v>2790000</v>
      </c>
      <c r="H11" s="561"/>
      <c r="I11" s="561"/>
      <c r="J11" s="389"/>
      <c r="K11" s="105"/>
    </row>
    <row r="12" spans="1:11" s="15" customFormat="1" ht="20.25" customHeight="1">
      <c r="A12" s="558"/>
      <c r="B12" s="559" t="s">
        <v>235</v>
      </c>
      <c r="C12" s="560">
        <v>30</v>
      </c>
      <c r="D12" s="561">
        <v>35000</v>
      </c>
      <c r="E12" s="505">
        <f>SUM(F12:I12)</f>
        <v>1050000</v>
      </c>
      <c r="F12" s="505">
        <f>C12*D12</f>
        <v>1050000</v>
      </c>
      <c r="G12" s="561"/>
      <c r="H12" s="561"/>
      <c r="I12" s="561"/>
      <c r="J12" s="389"/>
      <c r="K12" s="105"/>
    </row>
    <row r="13" spans="1:10" s="1" customFormat="1" ht="33" customHeight="1">
      <c r="A13" s="558" t="s">
        <v>293</v>
      </c>
      <c r="B13" s="559" t="s">
        <v>449</v>
      </c>
      <c r="C13" s="377"/>
      <c r="D13" s="505"/>
      <c r="E13" s="505">
        <f>SUM(F13:I13)</f>
        <v>169700</v>
      </c>
      <c r="F13" s="505"/>
      <c r="G13" s="505"/>
      <c r="H13" s="505"/>
      <c r="I13" s="505">
        <v>169700</v>
      </c>
      <c r="J13" s="389"/>
    </row>
    <row r="14" spans="1:11" s="12" customFormat="1" ht="20.25" customHeight="1">
      <c r="A14" s="563">
        <v>2</v>
      </c>
      <c r="B14" s="564" t="s">
        <v>68</v>
      </c>
      <c r="C14" s="377"/>
      <c r="D14" s="505"/>
      <c r="E14" s="505">
        <f>SUM(E15:E18)</f>
        <v>4652760</v>
      </c>
      <c r="F14" s="505">
        <f>SUM(F15:F18)</f>
        <v>2040000</v>
      </c>
      <c r="G14" s="505">
        <f>SUM(G15:G18)</f>
        <v>1579000</v>
      </c>
      <c r="H14" s="505">
        <f>SUM(H15:H18)</f>
        <v>50000</v>
      </c>
      <c r="I14" s="505">
        <f>SUM(I15:I18)</f>
        <v>983760</v>
      </c>
      <c r="J14" s="562" t="s">
        <v>313</v>
      </c>
      <c r="K14" s="567"/>
    </row>
    <row r="15" spans="1:11" s="1" customFormat="1" ht="20.25" customHeight="1">
      <c r="A15" s="563"/>
      <c r="B15" s="564" t="s">
        <v>63</v>
      </c>
      <c r="C15" s="377">
        <v>34</v>
      </c>
      <c r="D15" s="505">
        <v>60000</v>
      </c>
      <c r="E15" s="505">
        <f>SUM(F15:I15)</f>
        <v>3669000</v>
      </c>
      <c r="F15" s="505">
        <f>C15*D15</f>
        <v>2040000</v>
      </c>
      <c r="G15" s="505">
        <f>933000+646000</f>
        <v>1579000</v>
      </c>
      <c r="H15" s="505">
        <v>50000</v>
      </c>
      <c r="I15" s="505"/>
      <c r="J15" s="562"/>
      <c r="K15" s="105"/>
    </row>
    <row r="16" spans="1:15" s="1" customFormat="1" ht="20.25" customHeight="1">
      <c r="A16" s="563"/>
      <c r="B16" s="564" t="s">
        <v>253</v>
      </c>
      <c r="C16" s="377"/>
      <c r="D16" s="505"/>
      <c r="E16" s="505">
        <f>SUM(F16:I16)</f>
        <v>305500</v>
      </c>
      <c r="F16" s="505"/>
      <c r="G16" s="505"/>
      <c r="H16" s="505"/>
      <c r="I16" s="505">
        <v>305500</v>
      </c>
      <c r="J16" s="389"/>
      <c r="K16" s="125"/>
      <c r="L16" s="105"/>
      <c r="M16" s="105"/>
      <c r="N16" s="105"/>
      <c r="O16" s="105"/>
    </row>
    <row r="17" spans="1:15" s="23" customFormat="1" ht="20.25" customHeight="1">
      <c r="A17" s="291"/>
      <c r="B17" s="537" t="s">
        <v>245</v>
      </c>
      <c r="C17" s="401"/>
      <c r="D17" s="308"/>
      <c r="E17" s="308">
        <f>SUM(F17:I17)</f>
        <v>100000</v>
      </c>
      <c r="F17" s="308"/>
      <c r="G17" s="308"/>
      <c r="H17" s="308"/>
      <c r="I17" s="308">
        <v>100000</v>
      </c>
      <c r="J17" s="565"/>
      <c r="K17" s="143"/>
      <c r="L17" s="101"/>
      <c r="M17" s="101"/>
      <c r="N17" s="101"/>
      <c r="O17" s="101"/>
    </row>
    <row r="18" spans="1:15" s="1" customFormat="1" ht="20.25" customHeight="1">
      <c r="A18" s="563"/>
      <c r="B18" s="564" t="s">
        <v>450</v>
      </c>
      <c r="C18" s="377"/>
      <c r="D18" s="505"/>
      <c r="E18" s="505">
        <f>SUM(F18:I18)</f>
        <v>578260</v>
      </c>
      <c r="F18" s="505"/>
      <c r="G18" s="505"/>
      <c r="H18" s="505"/>
      <c r="I18" s="505">
        <f>878260-300000</f>
        <v>578260</v>
      </c>
      <c r="J18" s="389"/>
      <c r="K18" s="125"/>
      <c r="L18" s="105"/>
      <c r="M18" s="105"/>
      <c r="N18" s="105"/>
      <c r="O18" s="105"/>
    </row>
    <row r="19" spans="1:11" s="12" customFormat="1" ht="20.25" customHeight="1">
      <c r="A19" s="563">
        <v>3</v>
      </c>
      <c r="B19" s="564" t="s">
        <v>174</v>
      </c>
      <c r="C19" s="377"/>
      <c r="D19" s="505"/>
      <c r="E19" s="505">
        <f>SUM(E20:E22)</f>
        <v>12909200</v>
      </c>
      <c r="F19" s="505">
        <f>SUM(F20:F22)</f>
        <v>2185000</v>
      </c>
      <c r="G19" s="505">
        <f>SUM(G20:G22)</f>
        <v>9649200</v>
      </c>
      <c r="H19" s="505">
        <f>SUM(H20:H22)</f>
        <v>200000</v>
      </c>
      <c r="I19" s="505">
        <f>SUM(I20:I22)</f>
        <v>875000</v>
      </c>
      <c r="J19" s="562" t="s">
        <v>313</v>
      </c>
      <c r="K19" s="125"/>
    </row>
    <row r="20" spans="1:11" s="1" customFormat="1" ht="20.25" customHeight="1">
      <c r="A20" s="563"/>
      <c r="B20" s="564" t="s">
        <v>254</v>
      </c>
      <c r="C20" s="377">
        <v>95</v>
      </c>
      <c r="D20" s="505">
        <v>23000</v>
      </c>
      <c r="E20" s="505">
        <f>SUM(F20:I20)</f>
        <v>12034200</v>
      </c>
      <c r="F20" s="505">
        <f>C20*D20</f>
        <v>2185000</v>
      </c>
      <c r="G20" s="505">
        <f>9460000+39200+150000</f>
        <v>9649200</v>
      </c>
      <c r="H20" s="505">
        <v>200000</v>
      </c>
      <c r="I20" s="505"/>
      <c r="J20" s="562"/>
      <c r="K20" s="125"/>
    </row>
    <row r="21" spans="1:11" s="23" customFormat="1" ht="20.25" customHeight="1">
      <c r="A21" s="291"/>
      <c r="B21" s="537" t="s">
        <v>245</v>
      </c>
      <c r="C21" s="401"/>
      <c r="D21" s="308"/>
      <c r="E21" s="308">
        <f>SUM(F21:I21)</f>
        <v>500000</v>
      </c>
      <c r="F21" s="308"/>
      <c r="G21" s="308"/>
      <c r="H21" s="308"/>
      <c r="I21" s="308">
        <v>500000</v>
      </c>
      <c r="J21" s="565"/>
      <c r="K21" s="143"/>
    </row>
    <row r="22" spans="1:11" s="1" customFormat="1" ht="20.25" customHeight="1">
      <c r="A22" s="563"/>
      <c r="B22" s="564" t="s">
        <v>143</v>
      </c>
      <c r="C22" s="377"/>
      <c r="D22" s="505"/>
      <c r="E22" s="505">
        <f>SUM(F22:I22)</f>
        <v>375000</v>
      </c>
      <c r="F22" s="505"/>
      <c r="G22" s="505"/>
      <c r="H22" s="505"/>
      <c r="I22" s="505">
        <v>375000</v>
      </c>
      <c r="J22" s="389"/>
      <c r="K22" s="125"/>
    </row>
    <row r="23" spans="1:11" s="12" customFormat="1" ht="24" customHeight="1">
      <c r="A23" s="563">
        <v>4</v>
      </c>
      <c r="B23" s="566" t="s">
        <v>69</v>
      </c>
      <c r="C23" s="377"/>
      <c r="D23" s="505"/>
      <c r="E23" s="505">
        <f>SUM(F23:I23)</f>
        <v>413000</v>
      </c>
      <c r="F23" s="505"/>
      <c r="G23" s="505"/>
      <c r="H23" s="505"/>
      <c r="I23" s="505">
        <v>413000</v>
      </c>
      <c r="J23" s="389"/>
      <c r="K23" s="125"/>
    </row>
    <row r="24" spans="1:11" s="12" customFormat="1" ht="22.5" customHeight="1">
      <c r="A24" s="563">
        <v>5</v>
      </c>
      <c r="B24" s="566" t="s">
        <v>451</v>
      </c>
      <c r="C24" s="377"/>
      <c r="D24" s="505"/>
      <c r="E24" s="505">
        <f>SUM(E25)</f>
        <v>400000</v>
      </c>
      <c r="F24" s="505"/>
      <c r="G24" s="505"/>
      <c r="H24" s="505"/>
      <c r="I24" s="505">
        <f>SUM(I25)</f>
        <v>400000</v>
      </c>
      <c r="J24" s="389"/>
      <c r="K24" s="125"/>
    </row>
    <row r="25" spans="1:11" s="156" customFormat="1" ht="33.75" customHeight="1">
      <c r="A25" s="563"/>
      <c r="B25" s="566" t="s">
        <v>452</v>
      </c>
      <c r="C25" s="377"/>
      <c r="D25" s="505"/>
      <c r="E25" s="505">
        <f>SUM(F25:I25)</f>
        <v>400000</v>
      </c>
      <c r="F25" s="505"/>
      <c r="G25" s="505"/>
      <c r="H25" s="505"/>
      <c r="I25" s="505">
        <v>400000</v>
      </c>
      <c r="J25" s="389"/>
      <c r="K25" s="155"/>
    </row>
    <row r="26" spans="1:11" s="12" customFormat="1" ht="26.25" customHeight="1" thickBot="1">
      <c r="A26" s="568">
        <v>6</v>
      </c>
      <c r="B26" s="569" t="s">
        <v>446</v>
      </c>
      <c r="C26" s="395"/>
      <c r="D26" s="570"/>
      <c r="E26" s="570">
        <f>SUM(F26:I26)</f>
        <v>300000</v>
      </c>
      <c r="F26" s="570"/>
      <c r="G26" s="570"/>
      <c r="H26" s="570"/>
      <c r="I26" s="570">
        <v>300000</v>
      </c>
      <c r="J26" s="396"/>
      <c r="K26" s="125"/>
    </row>
    <row r="27" spans="2:11" s="1" customFormat="1" ht="16.5">
      <c r="B27" s="157"/>
      <c r="C27" s="58"/>
      <c r="D27" s="58"/>
      <c r="G27" s="158"/>
      <c r="H27" s="158"/>
      <c r="I27" s="158"/>
      <c r="K27" s="125"/>
    </row>
    <row r="28" spans="2:11" s="1" customFormat="1" ht="16.5">
      <c r="B28" s="157"/>
      <c r="C28" s="58"/>
      <c r="D28" s="58"/>
      <c r="G28" s="158"/>
      <c r="H28" s="158"/>
      <c r="I28" s="158"/>
      <c r="K28" s="125"/>
    </row>
    <row r="29" spans="2:11" s="1" customFormat="1" ht="16.5">
      <c r="B29" s="157"/>
      <c r="C29" s="58"/>
      <c r="D29" s="58"/>
      <c r="G29" s="158"/>
      <c r="H29" s="158"/>
      <c r="I29" s="158"/>
      <c r="K29" s="125"/>
    </row>
    <row r="30" spans="2:11" s="1" customFormat="1" ht="16.5">
      <c r="B30" s="157"/>
      <c r="C30" s="58"/>
      <c r="D30" s="58"/>
      <c r="G30" s="158"/>
      <c r="H30" s="158"/>
      <c r="I30" s="158"/>
      <c r="K30" s="125"/>
    </row>
    <row r="31" spans="2:11" s="1" customFormat="1" ht="16.5">
      <c r="B31" s="157"/>
      <c r="C31" s="58"/>
      <c r="D31" s="58"/>
      <c r="G31" s="158"/>
      <c r="H31" s="158"/>
      <c r="I31" s="158"/>
      <c r="K31" s="125"/>
    </row>
    <row r="32" spans="2:11" s="1" customFormat="1" ht="16.5">
      <c r="B32" s="157"/>
      <c r="C32" s="58"/>
      <c r="D32" s="58"/>
      <c r="G32" s="158"/>
      <c r="H32" s="158"/>
      <c r="I32" s="158"/>
      <c r="K32" s="125"/>
    </row>
    <row r="33" spans="2:11" s="1" customFormat="1" ht="16.5">
      <c r="B33" s="157"/>
      <c r="C33" s="58"/>
      <c r="D33" s="58"/>
      <c r="G33" s="158"/>
      <c r="H33" s="158"/>
      <c r="I33" s="158"/>
      <c r="K33" s="125"/>
    </row>
    <row r="34" spans="3:11" s="1" customFormat="1" ht="16.5">
      <c r="C34" s="58"/>
      <c r="D34" s="58"/>
      <c r="G34" s="55"/>
      <c r="H34" s="55"/>
      <c r="I34" s="55"/>
      <c r="K34" s="42"/>
    </row>
  </sheetData>
  <sheetProtection/>
  <mergeCells count="12">
    <mergeCell ref="A1:J1"/>
    <mergeCell ref="A2:J2"/>
    <mergeCell ref="A3:J3"/>
    <mergeCell ref="C5:C6"/>
    <mergeCell ref="E5:E6"/>
    <mergeCell ref="F5:I5"/>
    <mergeCell ref="A5:A6"/>
    <mergeCell ref="B5:B6"/>
    <mergeCell ref="J14:J15"/>
    <mergeCell ref="J19:J20"/>
    <mergeCell ref="J5:J6"/>
    <mergeCell ref="D5:D6"/>
  </mergeCells>
  <printOptions horizontalCentered="1"/>
  <pageMargins left="0" right="0" top="0.1968503937007874" bottom="0" header="0" footer="0"/>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O35"/>
  <sheetViews>
    <sheetView zoomScalePageLayoutView="0" workbookViewId="0" topLeftCell="A1">
      <selection activeCell="B6" sqref="B6:B7"/>
    </sheetView>
  </sheetViews>
  <sheetFormatPr defaultColWidth="8.88671875" defaultRowHeight="16.5"/>
  <cols>
    <col min="1" max="1" width="4.77734375" style="10" customWidth="1"/>
    <col min="2" max="2" width="42.99609375" style="21" customWidth="1"/>
    <col min="3" max="3" width="7.10546875" style="10" customWidth="1"/>
    <col min="4" max="4" width="8.4453125" style="10" customWidth="1"/>
    <col min="5" max="5" width="11.3359375" style="10" customWidth="1"/>
    <col min="6" max="6" width="10.10546875" style="10" customWidth="1"/>
    <col min="7" max="7" width="11.21484375" style="10" customWidth="1"/>
    <col min="8" max="8" width="9.3359375" style="10" customWidth="1"/>
    <col min="9" max="9" width="11.4453125" style="10" customWidth="1"/>
    <col min="10" max="10" width="8.99609375" style="10" customWidth="1"/>
    <col min="11" max="11" width="10.6640625" style="10" customWidth="1"/>
    <col min="12" max="12" width="6.5546875" style="10" customWidth="1"/>
    <col min="13" max="16384" width="8.88671875" style="10" customWidth="1"/>
  </cols>
  <sheetData>
    <row r="1" spans="1:13" ht="16.5" customHeight="1">
      <c r="A1" s="548" t="s">
        <v>291</v>
      </c>
      <c r="B1" s="548"/>
      <c r="C1" s="548"/>
      <c r="D1" s="548"/>
      <c r="E1" s="548"/>
      <c r="F1" s="548"/>
      <c r="G1" s="548"/>
      <c r="H1" s="548"/>
      <c r="I1" s="548"/>
      <c r="J1" s="548"/>
      <c r="K1" s="162"/>
      <c r="L1" s="162"/>
      <c r="M1" s="22"/>
    </row>
    <row r="2" spans="1:13" ht="17.25" customHeight="1">
      <c r="A2" s="251" t="s">
        <v>512</v>
      </c>
      <c r="B2" s="251"/>
      <c r="C2" s="251"/>
      <c r="D2" s="251"/>
      <c r="E2" s="251"/>
      <c r="F2" s="251"/>
      <c r="G2" s="251"/>
      <c r="H2" s="251"/>
      <c r="I2" s="251"/>
      <c r="J2" s="251"/>
      <c r="K2" s="163"/>
      <c r="L2" s="163"/>
      <c r="M2" s="22"/>
    </row>
    <row r="3" spans="1:13" ht="17.25" customHeight="1">
      <c r="A3" s="251" t="s">
        <v>255</v>
      </c>
      <c r="B3" s="251"/>
      <c r="C3" s="251"/>
      <c r="D3" s="251"/>
      <c r="E3" s="251"/>
      <c r="F3" s="251"/>
      <c r="G3" s="251"/>
      <c r="H3" s="251"/>
      <c r="I3" s="251"/>
      <c r="J3" s="251"/>
      <c r="K3" s="163"/>
      <c r="L3" s="163"/>
      <c r="M3" s="22"/>
    </row>
    <row r="4" spans="1:13" ht="20.25" customHeight="1">
      <c r="A4" s="252" t="str">
        <f>'Biểu 09'!A3:J3</f>
        <v>(Kèm theo Nghị quyết số 86/NĐ-HĐND ngày 18 tháng 12 năm 2015 của HĐND huyện Sông Mã)</v>
      </c>
      <c r="B4" s="252"/>
      <c r="C4" s="252"/>
      <c r="D4" s="252"/>
      <c r="E4" s="252"/>
      <c r="F4" s="252"/>
      <c r="G4" s="252"/>
      <c r="H4" s="252"/>
      <c r="I4" s="252"/>
      <c r="J4" s="252"/>
      <c r="K4" s="14"/>
      <c r="L4" s="14"/>
      <c r="M4" s="14"/>
    </row>
    <row r="5" spans="1:13" ht="21.75" customHeight="1" thickBot="1">
      <c r="A5" s="53"/>
      <c r="B5" s="164"/>
      <c r="C5" s="59"/>
      <c r="D5" s="60"/>
      <c r="E5" s="54"/>
      <c r="F5" s="54"/>
      <c r="G5" s="54"/>
      <c r="H5" s="571" t="s">
        <v>149</v>
      </c>
      <c r="I5" s="571"/>
      <c r="J5" s="571"/>
      <c r="K5" s="14"/>
      <c r="L5" s="14"/>
      <c r="M5" s="14"/>
    </row>
    <row r="6" spans="1:10" s="14" customFormat="1" ht="26.25" customHeight="1">
      <c r="A6" s="549" t="s">
        <v>97</v>
      </c>
      <c r="B6" s="550" t="s">
        <v>159</v>
      </c>
      <c r="C6" s="550" t="s">
        <v>238</v>
      </c>
      <c r="D6" s="550" t="s">
        <v>232</v>
      </c>
      <c r="E6" s="550" t="s">
        <v>523</v>
      </c>
      <c r="F6" s="550" t="s">
        <v>102</v>
      </c>
      <c r="G6" s="550"/>
      <c r="H6" s="550"/>
      <c r="I6" s="550"/>
      <c r="J6" s="551" t="s">
        <v>144</v>
      </c>
    </row>
    <row r="7" spans="1:10" s="14" customFormat="1" ht="51" customHeight="1">
      <c r="A7" s="409"/>
      <c r="B7" s="369"/>
      <c r="C7" s="552"/>
      <c r="D7" s="552"/>
      <c r="E7" s="369"/>
      <c r="F7" s="411" t="s">
        <v>603</v>
      </c>
      <c r="G7" s="411" t="s">
        <v>67</v>
      </c>
      <c r="H7" s="372" t="s">
        <v>233</v>
      </c>
      <c r="I7" s="284" t="s">
        <v>440</v>
      </c>
      <c r="J7" s="553"/>
    </row>
    <row r="8" spans="1:10" s="14" customFormat="1" ht="21.75" customHeight="1">
      <c r="A8" s="554" t="s">
        <v>146</v>
      </c>
      <c r="B8" s="411" t="s">
        <v>145</v>
      </c>
      <c r="C8" s="186">
        <v>1</v>
      </c>
      <c r="D8" s="186">
        <v>2</v>
      </c>
      <c r="E8" s="411" t="s">
        <v>441</v>
      </c>
      <c r="F8" s="411" t="s">
        <v>442</v>
      </c>
      <c r="G8" s="411">
        <v>5</v>
      </c>
      <c r="H8" s="411">
        <v>6</v>
      </c>
      <c r="I8" s="411">
        <v>7</v>
      </c>
      <c r="J8" s="555">
        <v>8</v>
      </c>
    </row>
    <row r="9" spans="1:11" s="11" customFormat="1" ht="24" customHeight="1">
      <c r="A9" s="554"/>
      <c r="B9" s="367" t="s">
        <v>524</v>
      </c>
      <c r="C9" s="399"/>
      <c r="D9" s="399"/>
      <c r="E9" s="556">
        <f>E10+E21</f>
        <v>5265000</v>
      </c>
      <c r="F9" s="556">
        <f>F10+F21</f>
        <v>1915000</v>
      </c>
      <c r="G9" s="556">
        <f>G10+G21</f>
        <v>1244000</v>
      </c>
      <c r="H9" s="556">
        <f>H10+H21</f>
        <v>97000</v>
      </c>
      <c r="I9" s="556">
        <f>I10+I21</f>
        <v>2009000</v>
      </c>
      <c r="J9" s="572"/>
      <c r="K9" s="105"/>
    </row>
    <row r="10" spans="1:11" s="159" customFormat="1" ht="17.25" customHeight="1">
      <c r="A10" s="578" t="s">
        <v>99</v>
      </c>
      <c r="B10" s="573" t="s">
        <v>70</v>
      </c>
      <c r="C10" s="399"/>
      <c r="D10" s="556">
        <f>D11+D16+D18</f>
        <v>0</v>
      </c>
      <c r="E10" s="556">
        <f>E11+E16+E19+E20</f>
        <v>3055000</v>
      </c>
      <c r="F10" s="556">
        <f>F11+F16+F19+F20</f>
        <v>715000</v>
      </c>
      <c r="G10" s="556">
        <f>G11+G16+G19+G20</f>
        <v>525000</v>
      </c>
      <c r="H10" s="556">
        <f>H11+H16+H19+H20</f>
        <v>50000</v>
      </c>
      <c r="I10" s="556">
        <f>I11+I16+I19+I20</f>
        <v>1765000</v>
      </c>
      <c r="J10" s="572"/>
      <c r="K10" s="105"/>
    </row>
    <row r="11" spans="1:11" s="160" customFormat="1" ht="17.25" customHeight="1">
      <c r="A11" s="558">
        <v>1</v>
      </c>
      <c r="B11" s="574" t="s">
        <v>256</v>
      </c>
      <c r="C11" s="377">
        <f>SUM(C12:C14)</f>
        <v>13</v>
      </c>
      <c r="D11" s="377"/>
      <c r="E11" s="505">
        <f>SUM(E12:E15)</f>
        <v>2180000</v>
      </c>
      <c r="F11" s="505">
        <f>SUM(F12:F15)</f>
        <v>715000</v>
      </c>
      <c r="G11" s="505">
        <f>SUM(G12:G15)</f>
        <v>525000</v>
      </c>
      <c r="H11" s="505">
        <f>SUM(H12:H15)</f>
        <v>50000</v>
      </c>
      <c r="I11" s="505">
        <f>SUM(I12:I15)</f>
        <v>890000</v>
      </c>
      <c r="J11" s="402"/>
      <c r="K11" s="567"/>
    </row>
    <row r="12" spans="1:11" s="160" customFormat="1" ht="17.25" customHeight="1">
      <c r="A12" s="558"/>
      <c r="B12" s="574" t="s">
        <v>148</v>
      </c>
      <c r="C12" s="560">
        <v>13</v>
      </c>
      <c r="D12" s="505">
        <v>55000</v>
      </c>
      <c r="E12" s="505">
        <f>SUM(F12:I12)</f>
        <v>1290000</v>
      </c>
      <c r="F12" s="505">
        <f>C12*D12</f>
        <v>715000</v>
      </c>
      <c r="G12" s="561">
        <f>323000+201000+1000</f>
        <v>525000</v>
      </c>
      <c r="H12" s="561">
        <v>50000</v>
      </c>
      <c r="I12" s="561"/>
      <c r="J12" s="572"/>
      <c r="K12" s="105"/>
    </row>
    <row r="13" spans="1:11" s="160" customFormat="1" ht="17.25" customHeight="1">
      <c r="A13" s="558"/>
      <c r="B13" s="574" t="s">
        <v>257</v>
      </c>
      <c r="C13" s="560"/>
      <c r="D13" s="505"/>
      <c r="E13" s="505">
        <f>SUM(F13:I13)</f>
        <v>200000</v>
      </c>
      <c r="F13" s="505"/>
      <c r="G13" s="561"/>
      <c r="H13" s="561"/>
      <c r="I13" s="561">
        <v>200000</v>
      </c>
      <c r="J13" s="572"/>
      <c r="K13" s="105"/>
    </row>
    <row r="14" spans="1:11" s="160" customFormat="1" ht="32.25" customHeight="1">
      <c r="A14" s="558"/>
      <c r="B14" s="566" t="s">
        <v>71</v>
      </c>
      <c r="C14" s="560"/>
      <c r="D14" s="505"/>
      <c r="E14" s="505">
        <f>SUM(F14:I14)</f>
        <v>500000</v>
      </c>
      <c r="F14" s="505"/>
      <c r="G14" s="505"/>
      <c r="H14" s="505"/>
      <c r="I14" s="505">
        <v>500000</v>
      </c>
      <c r="J14" s="572"/>
      <c r="K14" s="105"/>
    </row>
    <row r="15" spans="1:15" s="1" customFormat="1" ht="20.25" customHeight="1">
      <c r="A15" s="563"/>
      <c r="B15" s="564" t="s">
        <v>450</v>
      </c>
      <c r="C15" s="377"/>
      <c r="D15" s="505"/>
      <c r="E15" s="505">
        <f>SUM(F15:I15)</f>
        <v>190000</v>
      </c>
      <c r="F15" s="505"/>
      <c r="G15" s="505"/>
      <c r="H15" s="505"/>
      <c r="I15" s="505">
        <f>280000-90000</f>
        <v>190000</v>
      </c>
      <c r="J15" s="389"/>
      <c r="K15" s="125"/>
      <c r="L15" s="105"/>
      <c r="M15" s="105"/>
      <c r="N15" s="105"/>
      <c r="O15" s="105"/>
    </row>
    <row r="16" spans="1:11" s="160" customFormat="1" ht="17.25" customHeight="1">
      <c r="A16" s="558">
        <v>2</v>
      </c>
      <c r="B16" s="566" t="s">
        <v>72</v>
      </c>
      <c r="C16" s="560"/>
      <c r="D16" s="505"/>
      <c r="E16" s="505">
        <f>SUM(E17:E18)</f>
        <v>750000</v>
      </c>
      <c r="F16" s="505">
        <f>SUM(F17:F18)</f>
        <v>0</v>
      </c>
      <c r="G16" s="505">
        <f>SUM(G17:G18)</f>
        <v>0</v>
      </c>
      <c r="H16" s="505">
        <f>SUM(H17:H18)</f>
        <v>0</v>
      </c>
      <c r="I16" s="505">
        <f>SUM(I17:I18)</f>
        <v>750000</v>
      </c>
      <c r="J16" s="572"/>
      <c r="K16" s="567"/>
    </row>
    <row r="17" spans="1:11" s="160" customFormat="1" ht="23.25" customHeight="1">
      <c r="A17" s="558"/>
      <c r="B17" s="566" t="s">
        <v>323</v>
      </c>
      <c r="C17" s="560"/>
      <c r="D17" s="505"/>
      <c r="E17" s="505">
        <f>SUM(F17:I17)</f>
        <v>100000</v>
      </c>
      <c r="F17" s="505"/>
      <c r="G17" s="561"/>
      <c r="H17" s="561"/>
      <c r="I17" s="561">
        <v>100000</v>
      </c>
      <c r="J17" s="572"/>
      <c r="K17" s="105"/>
    </row>
    <row r="18" spans="1:11" s="195" customFormat="1" ht="22.5" customHeight="1">
      <c r="A18" s="558"/>
      <c r="B18" s="566" t="s">
        <v>486</v>
      </c>
      <c r="C18" s="560"/>
      <c r="D18" s="505"/>
      <c r="E18" s="505">
        <f>SUM(F18:I18)</f>
        <v>650000</v>
      </c>
      <c r="F18" s="505"/>
      <c r="G18" s="505"/>
      <c r="H18" s="505"/>
      <c r="I18" s="505">
        <f>'[1]NVH 13a'!D6</f>
        <v>650000</v>
      </c>
      <c r="J18" s="576" t="s">
        <v>487</v>
      </c>
      <c r="K18" s="194"/>
    </row>
    <row r="19" spans="1:11" s="160" customFormat="1" ht="22.5" customHeight="1">
      <c r="A19" s="558">
        <v>3</v>
      </c>
      <c r="B19" s="566" t="s">
        <v>160</v>
      </c>
      <c r="C19" s="560"/>
      <c r="D19" s="505"/>
      <c r="E19" s="505">
        <f>SUM(F19:I19)</f>
        <v>35000</v>
      </c>
      <c r="F19" s="505"/>
      <c r="G19" s="505"/>
      <c r="H19" s="505"/>
      <c r="I19" s="505">
        <v>35000</v>
      </c>
      <c r="J19" s="576"/>
      <c r="K19" s="567"/>
    </row>
    <row r="20" spans="1:11" s="160" customFormat="1" ht="22.5" customHeight="1">
      <c r="A20" s="558">
        <v>4</v>
      </c>
      <c r="B20" s="566" t="s">
        <v>446</v>
      </c>
      <c r="C20" s="560"/>
      <c r="D20" s="505"/>
      <c r="E20" s="505">
        <f>SUM(F20:I20)</f>
        <v>90000</v>
      </c>
      <c r="F20" s="505"/>
      <c r="G20" s="505"/>
      <c r="H20" s="505"/>
      <c r="I20" s="505">
        <v>90000</v>
      </c>
      <c r="J20" s="576"/>
      <c r="K20" s="567"/>
    </row>
    <row r="21" spans="1:11" s="159" customFormat="1" ht="22.5" customHeight="1">
      <c r="A21" s="578" t="s">
        <v>100</v>
      </c>
      <c r="B21" s="557" t="s">
        <v>73</v>
      </c>
      <c r="C21" s="399"/>
      <c r="D21" s="399"/>
      <c r="E21" s="556">
        <f>E22+E25+E24</f>
        <v>2210000</v>
      </c>
      <c r="F21" s="556">
        <f>F22+F25+F24</f>
        <v>1200000</v>
      </c>
      <c r="G21" s="556">
        <f>G22+G25+G24</f>
        <v>719000</v>
      </c>
      <c r="H21" s="556">
        <f>H22+H25+H24</f>
        <v>47000</v>
      </c>
      <c r="I21" s="556">
        <f>I22+I25+I24</f>
        <v>244000</v>
      </c>
      <c r="J21" s="575"/>
      <c r="K21" s="105"/>
    </row>
    <row r="22" spans="1:11" s="579" customFormat="1" ht="22.5" customHeight="1">
      <c r="A22" s="563">
        <v>1</v>
      </c>
      <c r="B22" s="574" t="s">
        <v>454</v>
      </c>
      <c r="C22" s="401">
        <v>24</v>
      </c>
      <c r="D22" s="401">
        <v>50000</v>
      </c>
      <c r="E22" s="505">
        <f>SUM(E23:E23)</f>
        <v>2145000</v>
      </c>
      <c r="F22" s="505">
        <f>SUM(F23:F23)</f>
        <v>1200000</v>
      </c>
      <c r="G22" s="505">
        <f>SUM(G23:G23)</f>
        <v>719000</v>
      </c>
      <c r="H22" s="505">
        <f>SUM(H23:H23)</f>
        <v>47000</v>
      </c>
      <c r="I22" s="505">
        <f>SUM(I23:I23)</f>
        <v>179000</v>
      </c>
      <c r="J22" s="572"/>
      <c r="K22" s="567"/>
    </row>
    <row r="23" spans="1:11" s="160" customFormat="1" ht="22.5" customHeight="1">
      <c r="A23" s="558"/>
      <c r="B23" s="574" t="s">
        <v>148</v>
      </c>
      <c r="C23" s="401">
        <v>24</v>
      </c>
      <c r="D23" s="401">
        <v>50000</v>
      </c>
      <c r="E23" s="505">
        <f>SUM(F23:I23)</f>
        <v>2145000</v>
      </c>
      <c r="F23" s="505">
        <f>C23*D23</f>
        <v>1200000</v>
      </c>
      <c r="G23" s="505">
        <f>310000+456000-H23</f>
        <v>719000</v>
      </c>
      <c r="H23" s="505">
        <v>47000</v>
      </c>
      <c r="I23" s="561">
        <f>54000-40000+90000+75000</f>
        <v>179000</v>
      </c>
      <c r="J23" s="572"/>
      <c r="K23" s="105"/>
    </row>
    <row r="24" spans="1:11" s="579" customFormat="1" ht="22.5" customHeight="1">
      <c r="A24" s="563">
        <v>2</v>
      </c>
      <c r="B24" s="574" t="s">
        <v>160</v>
      </c>
      <c r="C24" s="401"/>
      <c r="D24" s="401"/>
      <c r="E24" s="505">
        <f>SUM(F24:I24)</f>
        <v>25000</v>
      </c>
      <c r="F24" s="505"/>
      <c r="G24" s="505"/>
      <c r="H24" s="505"/>
      <c r="I24" s="505">
        <v>25000</v>
      </c>
      <c r="J24" s="572"/>
      <c r="K24" s="567"/>
    </row>
    <row r="25" spans="1:11" s="579" customFormat="1" ht="22.5" customHeight="1" thickBot="1">
      <c r="A25" s="568">
        <v>3</v>
      </c>
      <c r="B25" s="580" t="s">
        <v>446</v>
      </c>
      <c r="C25" s="403"/>
      <c r="D25" s="403"/>
      <c r="E25" s="570">
        <f>SUM(F25:I25)</f>
        <v>40000</v>
      </c>
      <c r="F25" s="570"/>
      <c r="G25" s="570"/>
      <c r="H25" s="570"/>
      <c r="I25" s="570">
        <v>40000</v>
      </c>
      <c r="J25" s="577"/>
      <c r="K25" s="567"/>
    </row>
    <row r="26" spans="2:11" s="1" customFormat="1" ht="16.5">
      <c r="B26" s="161"/>
      <c r="C26" s="58"/>
      <c r="D26" s="58"/>
      <c r="G26" s="158"/>
      <c r="H26" s="158"/>
      <c r="I26" s="158"/>
      <c r="K26" s="105"/>
    </row>
    <row r="27" spans="2:11" s="1" customFormat="1" ht="16.5">
      <c r="B27" s="161"/>
      <c r="C27" s="58"/>
      <c r="D27" s="58"/>
      <c r="G27" s="158"/>
      <c r="H27" s="158"/>
      <c r="I27" s="158"/>
      <c r="K27" s="105"/>
    </row>
    <row r="28" spans="2:11" s="1" customFormat="1" ht="16.5">
      <c r="B28" s="161"/>
      <c r="C28" s="58"/>
      <c r="D28" s="58"/>
      <c r="G28" s="158"/>
      <c r="H28" s="158"/>
      <c r="I28" s="158"/>
      <c r="K28" s="105"/>
    </row>
    <row r="29" spans="2:11" s="1" customFormat="1" ht="16.5">
      <c r="B29" s="161"/>
      <c r="C29" s="58"/>
      <c r="D29" s="58"/>
      <c r="G29" s="158"/>
      <c r="H29" s="158"/>
      <c r="I29" s="158"/>
      <c r="K29" s="105"/>
    </row>
    <row r="30" spans="2:11" s="1" customFormat="1" ht="16.5">
      <c r="B30" s="161"/>
      <c r="C30" s="58"/>
      <c r="D30" s="58"/>
      <c r="G30" s="158"/>
      <c r="H30" s="158"/>
      <c r="I30" s="158"/>
      <c r="K30" s="105"/>
    </row>
    <row r="31" spans="2:11" s="1" customFormat="1" ht="16.5">
      <c r="B31" s="161"/>
      <c r="C31" s="58"/>
      <c r="D31" s="58"/>
      <c r="G31" s="158"/>
      <c r="H31" s="158"/>
      <c r="I31" s="158"/>
      <c r="K31" s="105"/>
    </row>
    <row r="32" spans="2:11" s="1" customFormat="1" ht="16.5">
      <c r="B32" s="161"/>
      <c r="C32" s="58"/>
      <c r="D32" s="58"/>
      <c r="G32" s="158"/>
      <c r="H32" s="158"/>
      <c r="I32" s="158"/>
      <c r="K32" s="105"/>
    </row>
    <row r="33" spans="2:11" s="1" customFormat="1" ht="16.5">
      <c r="B33" s="161"/>
      <c r="C33" s="58"/>
      <c r="D33" s="58"/>
      <c r="G33" s="158"/>
      <c r="H33" s="158"/>
      <c r="I33" s="158"/>
      <c r="K33" s="105"/>
    </row>
    <row r="34" spans="2:11" s="1" customFormat="1" ht="16.5">
      <c r="B34" s="39"/>
      <c r="C34" s="58"/>
      <c r="D34" s="58"/>
      <c r="G34" s="158"/>
      <c r="H34" s="158"/>
      <c r="I34" s="158"/>
      <c r="K34" s="105"/>
    </row>
    <row r="35" spans="2:11" s="1" customFormat="1" ht="16.5">
      <c r="B35" s="3"/>
      <c r="C35" s="58"/>
      <c r="D35" s="58"/>
      <c r="G35" s="158"/>
      <c r="H35" s="158"/>
      <c r="I35" s="158"/>
      <c r="K35" s="105"/>
    </row>
  </sheetData>
  <sheetProtection/>
  <mergeCells count="12">
    <mergeCell ref="A6:A7"/>
    <mergeCell ref="B6:B7"/>
    <mergeCell ref="C6:C7"/>
    <mergeCell ref="H5:J5"/>
    <mergeCell ref="A1:J1"/>
    <mergeCell ref="A2:J2"/>
    <mergeCell ref="A3:J3"/>
    <mergeCell ref="A4:J4"/>
    <mergeCell ref="D6:D7"/>
    <mergeCell ref="E6:E7"/>
    <mergeCell ref="F6:I6"/>
    <mergeCell ref="J6:J7"/>
  </mergeCells>
  <printOptions horizontalCentered="1"/>
  <pageMargins left="0.3937007874015748" right="0.3937007874015748" top="0.1968503937007874" bottom="0.1968503937007874" header="0" footer="0"/>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dimension ref="A1:BG12"/>
  <sheetViews>
    <sheetView zoomScalePageLayoutView="0" workbookViewId="0" topLeftCell="A1">
      <selection activeCell="C8" sqref="C8"/>
    </sheetView>
  </sheetViews>
  <sheetFormatPr defaultColWidth="8.88671875" defaultRowHeight="16.5"/>
  <cols>
    <col min="1" max="1" width="5.21484375" style="0" customWidth="1"/>
    <col min="2" max="2" width="32.10546875" style="9" customWidth="1"/>
    <col min="3" max="3" width="18.3359375" style="9" customWidth="1"/>
    <col min="4" max="4" width="11.99609375" style="1" customWidth="1"/>
    <col min="5" max="5" width="9.21484375" style="0" customWidth="1"/>
    <col min="6" max="6" width="10.21484375" style="0" bestFit="1" customWidth="1"/>
  </cols>
  <sheetData>
    <row r="1" spans="1:5" ht="21.75" customHeight="1">
      <c r="A1" s="239" t="s">
        <v>487</v>
      </c>
      <c r="B1" s="239"/>
      <c r="C1" s="239"/>
      <c r="D1" s="239"/>
      <c r="E1" s="239"/>
    </row>
    <row r="2" spans="1:5" ht="20.25" customHeight="1">
      <c r="A2" s="255" t="s">
        <v>513</v>
      </c>
      <c r="B2" s="255"/>
      <c r="C2" s="255"/>
      <c r="D2" s="255"/>
      <c r="E2" s="255"/>
    </row>
    <row r="3" spans="1:5" ht="20.25" customHeight="1">
      <c r="A3" s="256" t="str">
        <f>'Biểu 10'!A4:J4</f>
        <v>(Kèm theo Nghị quyết số 86/NĐ-HĐND ngày 18 tháng 12 năm 2015 của HĐND huyện Sông Mã)</v>
      </c>
      <c r="B3" s="256"/>
      <c r="C3" s="256"/>
      <c r="D3" s="256"/>
      <c r="E3" s="256"/>
    </row>
    <row r="4" spans="1:5" ht="20.25" customHeight="1" thickBot="1">
      <c r="A4" s="140"/>
      <c r="B4" s="141"/>
      <c r="C4" s="141"/>
      <c r="D4" s="581"/>
      <c r="E4" s="581" t="s">
        <v>149</v>
      </c>
    </row>
    <row r="5" spans="1:5" ht="42" customHeight="1">
      <c r="A5" s="582" t="s">
        <v>97</v>
      </c>
      <c r="B5" s="583" t="s">
        <v>121</v>
      </c>
      <c r="C5" s="583" t="s">
        <v>289</v>
      </c>
      <c r="D5" s="583" t="s">
        <v>523</v>
      </c>
      <c r="E5" s="584" t="s">
        <v>144</v>
      </c>
    </row>
    <row r="6" spans="1:59" s="138" customFormat="1" ht="28.5" customHeight="1">
      <c r="A6" s="585"/>
      <c r="B6" s="596" t="s">
        <v>524</v>
      </c>
      <c r="C6" s="586"/>
      <c r="D6" s="355">
        <f>SUM(D7:D9)</f>
        <v>650000</v>
      </c>
      <c r="E6" s="587"/>
      <c r="F6" s="75"/>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row>
    <row r="7" spans="1:59" s="139" customFormat="1" ht="57" customHeight="1">
      <c r="A7" s="588">
        <v>1</v>
      </c>
      <c r="B7" s="589" t="s">
        <v>455</v>
      </c>
      <c r="C7" s="590" t="s">
        <v>451</v>
      </c>
      <c r="D7" s="359">
        <v>70000</v>
      </c>
      <c r="E7" s="591"/>
      <c r="F7" s="165"/>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row>
    <row r="8" spans="1:59" s="139" customFormat="1" ht="54.75" customHeight="1">
      <c r="A8" s="588">
        <v>2</v>
      </c>
      <c r="B8" s="589" t="s">
        <v>456</v>
      </c>
      <c r="C8" s="590" t="s">
        <v>451</v>
      </c>
      <c r="D8" s="359">
        <v>70000</v>
      </c>
      <c r="E8" s="591"/>
      <c r="F8" s="165"/>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row>
    <row r="9" spans="1:59" s="139" customFormat="1" ht="41.25" customHeight="1" thickBot="1">
      <c r="A9" s="592">
        <v>3</v>
      </c>
      <c r="B9" s="593" t="s">
        <v>457</v>
      </c>
      <c r="C9" s="594" t="s">
        <v>458</v>
      </c>
      <c r="D9" s="362">
        <v>510000</v>
      </c>
      <c r="E9" s="595"/>
      <c r="F9" s="165"/>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row>
    <row r="11" spans="1:5" ht="24" customHeight="1">
      <c r="A11" s="257"/>
      <c r="B11" s="257"/>
      <c r="C11" s="257"/>
      <c r="D11" s="257"/>
      <c r="E11" s="257"/>
    </row>
    <row r="12" spans="1:5" ht="24" customHeight="1">
      <c r="A12" s="253"/>
      <c r="B12" s="254"/>
      <c r="C12" s="254"/>
      <c r="D12" s="254"/>
      <c r="E12" s="254"/>
    </row>
  </sheetData>
  <sheetProtection/>
  <mergeCells count="5">
    <mergeCell ref="A12:E12"/>
    <mergeCell ref="A1:E1"/>
    <mergeCell ref="A2:E2"/>
    <mergeCell ref="A3:E3"/>
    <mergeCell ref="A11:E11"/>
  </mergeCells>
  <printOptions horizontalCentered="1"/>
  <pageMargins left="0" right="0" top="0.5118110236220472" bottom="0.5118110236220472" header="0.5118110236220472" footer="0.5118110236220472"/>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N34"/>
  <sheetViews>
    <sheetView zoomScalePageLayoutView="0" workbookViewId="0" topLeftCell="A1">
      <selection activeCell="B7" sqref="B7"/>
    </sheetView>
  </sheetViews>
  <sheetFormatPr defaultColWidth="8.88671875" defaultRowHeight="16.5"/>
  <cols>
    <col min="1" max="1" width="4.77734375" style="22" customWidth="1"/>
    <col min="2" max="2" width="44.77734375" style="21" customWidth="1"/>
    <col min="3" max="3" width="7.88671875" style="10" customWidth="1"/>
    <col min="4" max="4" width="9.10546875" style="10" customWidth="1"/>
    <col min="5" max="5" width="13.10546875" style="10" customWidth="1"/>
    <col min="6" max="6" width="11.6640625" style="10" customWidth="1"/>
    <col min="7" max="7" width="10.88671875" style="10" customWidth="1"/>
    <col min="8" max="8" width="10.4453125" style="10" customWidth="1"/>
    <col min="9" max="9" width="12.5546875" style="10" customWidth="1"/>
    <col min="10" max="10" width="11.21484375" style="10" customWidth="1"/>
    <col min="11" max="11" width="17.99609375" style="10" customWidth="1"/>
    <col min="12" max="12" width="7.4453125" style="10" customWidth="1"/>
    <col min="13" max="16384" width="8.88671875" style="10" customWidth="1"/>
  </cols>
  <sheetData>
    <row r="1" spans="1:12" s="22" customFormat="1" ht="16.5" customHeight="1">
      <c r="A1" s="236" t="s">
        <v>367</v>
      </c>
      <c r="B1" s="236"/>
      <c r="C1" s="236"/>
      <c r="D1" s="236"/>
      <c r="E1" s="236"/>
      <c r="F1" s="236"/>
      <c r="G1" s="236"/>
      <c r="H1" s="236"/>
      <c r="I1" s="236"/>
      <c r="J1" s="236"/>
      <c r="K1" s="151"/>
      <c r="L1" s="151"/>
    </row>
    <row r="2" spans="1:12" s="22" customFormat="1" ht="21" customHeight="1">
      <c r="A2" s="248" t="s">
        <v>514</v>
      </c>
      <c r="B2" s="248"/>
      <c r="C2" s="248"/>
      <c r="D2" s="248"/>
      <c r="E2" s="248"/>
      <c r="F2" s="248"/>
      <c r="G2" s="248"/>
      <c r="H2" s="248"/>
      <c r="I2" s="248"/>
      <c r="J2" s="248"/>
      <c r="K2" s="152"/>
      <c r="L2" s="152"/>
    </row>
    <row r="3" spans="1:14" s="22" customFormat="1" ht="21" customHeight="1">
      <c r="A3" s="249" t="str">
        <f>'Biểu 10a'!A3:E3</f>
        <v>(Kèm theo Nghị quyết số 86/NĐ-HĐND ngày 18 tháng 12 năm 2015 của HĐND huyện Sông Mã)</v>
      </c>
      <c r="B3" s="249"/>
      <c r="C3" s="249"/>
      <c r="D3" s="249"/>
      <c r="E3" s="249"/>
      <c r="F3" s="249"/>
      <c r="G3" s="249"/>
      <c r="H3" s="249"/>
      <c r="I3" s="249"/>
      <c r="J3" s="249"/>
      <c r="K3" s="152"/>
      <c r="L3" s="152"/>
      <c r="M3" s="152"/>
      <c r="N3" s="152"/>
    </row>
    <row r="4" spans="1:14" s="22" customFormat="1" ht="21.75" customHeight="1" thickBot="1">
      <c r="A4" s="51"/>
      <c r="B4" s="36"/>
      <c r="C4" s="33"/>
      <c r="D4" s="34"/>
      <c r="E4" s="35"/>
      <c r="F4" s="35"/>
      <c r="G4" s="35"/>
      <c r="H4" s="33"/>
      <c r="I4" s="571" t="s">
        <v>149</v>
      </c>
      <c r="J4" s="571"/>
      <c r="K4" s="152"/>
      <c r="L4" s="152"/>
      <c r="M4" s="152"/>
      <c r="N4" s="152"/>
    </row>
    <row r="5" spans="1:14" s="14" customFormat="1" ht="19.5" customHeight="1">
      <c r="A5" s="235" t="s">
        <v>97</v>
      </c>
      <c r="B5" s="210" t="s">
        <v>159</v>
      </c>
      <c r="C5" s="210" t="s">
        <v>238</v>
      </c>
      <c r="D5" s="210" t="s">
        <v>232</v>
      </c>
      <c r="E5" s="210" t="s">
        <v>374</v>
      </c>
      <c r="F5" s="210" t="s">
        <v>102</v>
      </c>
      <c r="G5" s="210"/>
      <c r="H5" s="210"/>
      <c r="I5" s="210"/>
      <c r="J5" s="599" t="s">
        <v>144</v>
      </c>
      <c r="K5" s="152"/>
      <c r="L5" s="152"/>
      <c r="M5" s="152"/>
      <c r="N5" s="152"/>
    </row>
    <row r="6" spans="1:14" s="14" customFormat="1" ht="59.25" customHeight="1">
      <c r="A6" s="597"/>
      <c r="B6" s="258"/>
      <c r="C6" s="211"/>
      <c r="D6" s="211"/>
      <c r="E6" s="258"/>
      <c r="F6" s="199" t="s">
        <v>150</v>
      </c>
      <c r="G6" s="199" t="s">
        <v>258</v>
      </c>
      <c r="H6" s="600" t="s">
        <v>233</v>
      </c>
      <c r="I6" s="600" t="s">
        <v>440</v>
      </c>
      <c r="J6" s="601"/>
      <c r="K6" s="152"/>
      <c r="L6" s="152"/>
      <c r="M6" s="152"/>
      <c r="N6" s="152"/>
    </row>
    <row r="7" spans="1:14" s="52" customFormat="1" ht="20.25" customHeight="1">
      <c r="A7" s="598" t="s">
        <v>146</v>
      </c>
      <c r="B7" s="167" t="s">
        <v>145</v>
      </c>
      <c r="C7" s="602">
        <v>1</v>
      </c>
      <c r="D7" s="602">
        <v>2</v>
      </c>
      <c r="E7" s="167" t="s">
        <v>441</v>
      </c>
      <c r="F7" s="167" t="s">
        <v>442</v>
      </c>
      <c r="G7" s="167">
        <v>5</v>
      </c>
      <c r="H7" s="167">
        <v>6</v>
      </c>
      <c r="I7" s="167">
        <v>7</v>
      </c>
      <c r="J7" s="603">
        <v>8</v>
      </c>
      <c r="K7" s="152"/>
      <c r="L7" s="152"/>
      <c r="M7" s="152"/>
      <c r="N7" s="152"/>
    </row>
    <row r="8" spans="1:14" s="11" customFormat="1" ht="20.25" customHeight="1">
      <c r="A8" s="213"/>
      <c r="B8" s="214" t="s">
        <v>524</v>
      </c>
      <c r="C8" s="604"/>
      <c r="D8" s="605">
        <f>D9+D14+D22</f>
        <v>0</v>
      </c>
      <c r="E8" s="605">
        <f>SUM(E9,E14,E20,E25,E29:E30,E23)</f>
        <v>24342000</v>
      </c>
      <c r="F8" s="605">
        <f>SUM(F9,F14,F20,F25,F29:F30,F23)</f>
        <v>1320000</v>
      </c>
      <c r="G8" s="605">
        <f>SUM(G9,G14,G20,G25,G29:G30,G23)</f>
        <v>851000</v>
      </c>
      <c r="H8" s="605">
        <f>SUM(H9,H14,H20,H25,H29:H30,H23)</f>
        <v>20000</v>
      </c>
      <c r="I8" s="605">
        <f>SUM(I9,I14,I20,I25,I29:I30,I23)</f>
        <v>22151000</v>
      </c>
      <c r="J8" s="606"/>
      <c r="K8" s="196"/>
      <c r="L8" s="152"/>
      <c r="M8" s="152"/>
      <c r="N8" s="152"/>
    </row>
    <row r="9" spans="1:14" s="15" customFormat="1" ht="26.25" customHeight="1">
      <c r="A9" s="227">
        <v>1</v>
      </c>
      <c r="B9" s="228" t="s">
        <v>259</v>
      </c>
      <c r="C9" s="612"/>
      <c r="D9" s="612"/>
      <c r="E9" s="613">
        <f>SUM(E10:E13)</f>
        <v>3156000</v>
      </c>
      <c r="F9" s="613">
        <f>SUM(F10:F13)</f>
        <v>1320000</v>
      </c>
      <c r="G9" s="613">
        <f>SUM(G10:G13)</f>
        <v>851000</v>
      </c>
      <c r="H9" s="613">
        <f>SUM(H10:H13)</f>
        <v>20000</v>
      </c>
      <c r="I9" s="613">
        <f>SUM(I10:I13)</f>
        <v>965000</v>
      </c>
      <c r="J9" s="614"/>
      <c r="K9" s="615"/>
      <c r="L9" s="615"/>
      <c r="M9" s="615"/>
      <c r="N9" s="615"/>
    </row>
    <row r="10" spans="1:14" s="15" customFormat="1" ht="26.25" customHeight="1">
      <c r="A10" s="217" t="s">
        <v>292</v>
      </c>
      <c r="B10" s="218" t="s">
        <v>140</v>
      </c>
      <c r="C10" s="608">
        <v>24</v>
      </c>
      <c r="D10" s="609">
        <v>55000</v>
      </c>
      <c r="E10" s="609">
        <f>SUM(F10:I10)</f>
        <v>2191000</v>
      </c>
      <c r="F10" s="609">
        <f>C10*D10</f>
        <v>1320000</v>
      </c>
      <c r="G10" s="609">
        <f>1856000-F10-H10+350000-15000</f>
        <v>851000</v>
      </c>
      <c r="H10" s="609">
        <v>20000</v>
      </c>
      <c r="I10" s="609"/>
      <c r="J10" s="606"/>
      <c r="K10" s="152"/>
      <c r="L10" s="152"/>
      <c r="M10" s="152"/>
      <c r="N10" s="152"/>
    </row>
    <row r="11" spans="1:14" s="169" customFormat="1" ht="26.25" customHeight="1">
      <c r="A11" s="217" t="s">
        <v>293</v>
      </c>
      <c r="B11" s="218" t="s">
        <v>294</v>
      </c>
      <c r="C11" s="608"/>
      <c r="D11" s="609"/>
      <c r="E11" s="609">
        <f>SUM(F11:I11)</f>
        <v>940000</v>
      </c>
      <c r="F11" s="609"/>
      <c r="G11" s="609"/>
      <c r="H11" s="609"/>
      <c r="I11" s="609">
        <v>940000</v>
      </c>
      <c r="J11" s="606"/>
      <c r="K11" s="152"/>
      <c r="L11" s="152"/>
      <c r="M11" s="152"/>
      <c r="N11" s="152"/>
    </row>
    <row r="12" spans="1:14" s="15" customFormat="1" ht="26.25" customHeight="1">
      <c r="A12" s="217" t="s">
        <v>459</v>
      </c>
      <c r="B12" s="218" t="s">
        <v>160</v>
      </c>
      <c r="C12" s="608"/>
      <c r="D12" s="609"/>
      <c r="E12" s="609">
        <f>SUM(F12:I12)</f>
        <v>10000</v>
      </c>
      <c r="F12" s="609"/>
      <c r="G12" s="609"/>
      <c r="H12" s="609"/>
      <c r="I12" s="609">
        <v>10000</v>
      </c>
      <c r="J12" s="606"/>
      <c r="K12" s="152"/>
      <c r="L12" s="152"/>
      <c r="M12" s="152"/>
      <c r="N12" s="152"/>
    </row>
    <row r="13" spans="1:14" s="15" customFormat="1" ht="26.25" customHeight="1">
      <c r="A13" s="217" t="s">
        <v>460</v>
      </c>
      <c r="B13" s="218" t="s">
        <v>446</v>
      </c>
      <c r="C13" s="608"/>
      <c r="D13" s="609"/>
      <c r="E13" s="609">
        <f>SUM(F13:I13)</f>
        <v>15000</v>
      </c>
      <c r="F13" s="609"/>
      <c r="G13" s="609"/>
      <c r="H13" s="609"/>
      <c r="I13" s="609">
        <v>15000</v>
      </c>
      <c r="J13" s="606"/>
      <c r="K13" s="152"/>
      <c r="L13" s="152"/>
      <c r="M13" s="152"/>
      <c r="N13" s="152"/>
    </row>
    <row r="14" spans="1:14" s="23" customFormat="1" ht="26.25" customHeight="1">
      <c r="A14" s="227">
        <v>2</v>
      </c>
      <c r="B14" s="228" t="s">
        <v>260</v>
      </c>
      <c r="C14" s="612"/>
      <c r="D14" s="613"/>
      <c r="E14" s="613">
        <f>SUM(E15:E16)</f>
        <v>10290000</v>
      </c>
      <c r="F14" s="613">
        <f>SUM(F15:F16)</f>
        <v>0</v>
      </c>
      <c r="G14" s="613">
        <f>SUM(G15:G16)</f>
        <v>0</v>
      </c>
      <c r="H14" s="613">
        <f>SUM(H15:H16)</f>
        <v>0</v>
      </c>
      <c r="I14" s="613">
        <f>SUM(I15:I16)</f>
        <v>10290000</v>
      </c>
      <c r="J14" s="616"/>
      <c r="K14" s="615"/>
      <c r="L14" s="615"/>
      <c r="M14" s="615"/>
      <c r="N14" s="615"/>
    </row>
    <row r="15" spans="1:14" s="23" customFormat="1" ht="26.25" customHeight="1">
      <c r="A15" s="217" t="s">
        <v>295</v>
      </c>
      <c r="B15" s="218" t="s">
        <v>74</v>
      </c>
      <c r="C15" s="608"/>
      <c r="D15" s="609"/>
      <c r="E15" s="609">
        <f>SUM(F15:I15)</f>
        <v>9500000</v>
      </c>
      <c r="F15" s="609"/>
      <c r="G15" s="609"/>
      <c r="H15" s="609"/>
      <c r="I15" s="609">
        <v>9500000</v>
      </c>
      <c r="J15" s="606"/>
      <c r="K15" s="152"/>
      <c r="L15" s="152"/>
      <c r="M15" s="152"/>
      <c r="N15" s="152"/>
    </row>
    <row r="16" spans="1:14" s="23" customFormat="1" ht="26.25" customHeight="1">
      <c r="A16" s="217" t="s">
        <v>296</v>
      </c>
      <c r="B16" s="218" t="s">
        <v>297</v>
      </c>
      <c r="C16" s="608"/>
      <c r="D16" s="609"/>
      <c r="E16" s="609">
        <f>SUM(E17:E19)</f>
        <v>790000</v>
      </c>
      <c r="F16" s="609">
        <f>SUM(F17:F19)</f>
        <v>0</v>
      </c>
      <c r="G16" s="609">
        <f>SUM(G17:G19)</f>
        <v>0</v>
      </c>
      <c r="H16" s="609">
        <f>SUM(H17:H19)</f>
        <v>0</v>
      </c>
      <c r="I16" s="609">
        <f>SUM(I17:I19)</f>
        <v>790000</v>
      </c>
      <c r="J16" s="606"/>
      <c r="K16" s="152"/>
      <c r="L16" s="152"/>
      <c r="M16" s="152"/>
      <c r="N16" s="152"/>
    </row>
    <row r="17" spans="1:14" s="169" customFormat="1" ht="25.5" customHeight="1">
      <c r="A17" s="217"/>
      <c r="B17" s="218" t="s">
        <v>298</v>
      </c>
      <c r="C17" s="608"/>
      <c r="D17" s="609"/>
      <c r="E17" s="609">
        <f>SUM(F17:I17)</f>
        <v>120000</v>
      </c>
      <c r="F17" s="609"/>
      <c r="G17" s="609"/>
      <c r="H17" s="609"/>
      <c r="I17" s="609">
        <v>120000</v>
      </c>
      <c r="J17" s="606"/>
      <c r="K17" s="152"/>
      <c r="L17" s="152"/>
      <c r="M17" s="152"/>
      <c r="N17" s="152"/>
    </row>
    <row r="18" spans="1:14" s="169" customFormat="1" ht="26.25" customHeight="1">
      <c r="A18" s="217"/>
      <c r="B18" s="218" t="s">
        <v>299</v>
      </c>
      <c r="C18" s="608"/>
      <c r="D18" s="609"/>
      <c r="E18" s="609">
        <f>SUM(F18:I18)</f>
        <v>120000</v>
      </c>
      <c r="F18" s="609"/>
      <c r="G18" s="609"/>
      <c r="H18" s="609"/>
      <c r="I18" s="609">
        <v>120000</v>
      </c>
      <c r="J18" s="606"/>
      <c r="K18" s="152"/>
      <c r="L18" s="152"/>
      <c r="M18" s="152"/>
      <c r="N18" s="152"/>
    </row>
    <row r="19" spans="1:14" s="169" customFormat="1" ht="26.25" customHeight="1">
      <c r="A19" s="217"/>
      <c r="B19" s="218" t="s">
        <v>300</v>
      </c>
      <c r="C19" s="608"/>
      <c r="D19" s="609"/>
      <c r="E19" s="609">
        <f>SUM(F19:I19)</f>
        <v>550000</v>
      </c>
      <c r="F19" s="609"/>
      <c r="G19" s="609"/>
      <c r="H19" s="609"/>
      <c r="I19" s="609">
        <v>550000</v>
      </c>
      <c r="J19" s="606"/>
      <c r="K19" s="152"/>
      <c r="L19" s="152"/>
      <c r="M19" s="152"/>
      <c r="N19" s="152"/>
    </row>
    <row r="20" spans="1:14" s="23" customFormat="1" ht="29.25" customHeight="1">
      <c r="A20" s="227">
        <v>3</v>
      </c>
      <c r="B20" s="228" t="s">
        <v>301</v>
      </c>
      <c r="C20" s="612"/>
      <c r="D20" s="613"/>
      <c r="E20" s="613">
        <f>SUM(E21:E22)</f>
        <v>2850000</v>
      </c>
      <c r="F20" s="613">
        <f>SUM(F21:F22)</f>
        <v>0</v>
      </c>
      <c r="G20" s="613">
        <f>SUM(G21:G22)</f>
        <v>0</v>
      </c>
      <c r="H20" s="613">
        <f>SUM(H21:H22)</f>
        <v>0</v>
      </c>
      <c r="I20" s="613">
        <f>SUM(I21:I22)</f>
        <v>2850000</v>
      </c>
      <c r="J20" s="616"/>
      <c r="K20" s="615"/>
      <c r="L20" s="615"/>
      <c r="M20" s="615"/>
      <c r="N20" s="615"/>
    </row>
    <row r="21" spans="1:14" s="23" customFormat="1" ht="31.5" customHeight="1">
      <c r="A21" s="217" t="s">
        <v>302</v>
      </c>
      <c r="B21" s="218" t="s">
        <v>303</v>
      </c>
      <c r="C21" s="608"/>
      <c r="D21" s="609"/>
      <c r="E21" s="609">
        <f>SUM(F21:I21)</f>
        <v>250000</v>
      </c>
      <c r="F21" s="609"/>
      <c r="G21" s="609"/>
      <c r="H21" s="609"/>
      <c r="I21" s="609">
        <v>250000</v>
      </c>
      <c r="J21" s="606"/>
      <c r="K21" s="152"/>
      <c r="L21" s="152"/>
      <c r="M21" s="152"/>
      <c r="N21" s="152"/>
    </row>
    <row r="22" spans="1:14" s="169" customFormat="1" ht="29.25" customHeight="1">
      <c r="A22" s="217" t="s">
        <v>304</v>
      </c>
      <c r="B22" s="218" t="s">
        <v>278</v>
      </c>
      <c r="C22" s="608"/>
      <c r="D22" s="609"/>
      <c r="E22" s="609">
        <f>SUM(F22:I22)</f>
        <v>2600000</v>
      </c>
      <c r="F22" s="609"/>
      <c r="G22" s="609"/>
      <c r="H22" s="609"/>
      <c r="I22" s="608">
        <v>2600000</v>
      </c>
      <c r="J22" s="606"/>
      <c r="K22" s="152"/>
      <c r="L22" s="152"/>
      <c r="M22" s="152"/>
      <c r="N22" s="152"/>
    </row>
    <row r="23" spans="1:14" s="23" customFormat="1" ht="29.25" customHeight="1">
      <c r="A23" s="227">
        <v>4</v>
      </c>
      <c r="B23" s="228" t="s">
        <v>75</v>
      </c>
      <c r="C23" s="612"/>
      <c r="D23" s="613"/>
      <c r="E23" s="613">
        <f>E24</f>
        <v>100000</v>
      </c>
      <c r="F23" s="613">
        <f>F24</f>
        <v>0</v>
      </c>
      <c r="G23" s="613">
        <f>G24</f>
        <v>0</v>
      </c>
      <c r="H23" s="613">
        <f>H24</f>
        <v>0</v>
      </c>
      <c r="I23" s="613">
        <f>I24</f>
        <v>100000</v>
      </c>
      <c r="J23" s="616"/>
      <c r="K23" s="615"/>
      <c r="L23" s="615"/>
      <c r="M23" s="615"/>
      <c r="N23" s="615"/>
    </row>
    <row r="24" spans="1:14" s="23" customFormat="1" ht="31.5" customHeight="1">
      <c r="A24" s="217" t="s">
        <v>305</v>
      </c>
      <c r="B24" s="218" t="s">
        <v>580</v>
      </c>
      <c r="C24" s="608"/>
      <c r="D24" s="609"/>
      <c r="E24" s="609">
        <f>SUM(F24:I24)</f>
        <v>100000</v>
      </c>
      <c r="F24" s="609"/>
      <c r="G24" s="609"/>
      <c r="H24" s="609"/>
      <c r="I24" s="609">
        <v>100000</v>
      </c>
      <c r="J24" s="606"/>
      <c r="K24" s="152"/>
      <c r="L24" s="152"/>
      <c r="M24" s="152"/>
      <c r="N24" s="152"/>
    </row>
    <row r="25" spans="1:14" s="23" customFormat="1" ht="26.25" customHeight="1">
      <c r="A25" s="227">
        <v>5</v>
      </c>
      <c r="B25" s="228" t="s">
        <v>306</v>
      </c>
      <c r="C25" s="612"/>
      <c r="D25" s="612"/>
      <c r="E25" s="613">
        <f>SUM(E26:E28)</f>
        <v>7452000</v>
      </c>
      <c r="F25" s="613">
        <f>SUM(F26:F28)</f>
        <v>0</v>
      </c>
      <c r="G25" s="613">
        <f>SUM(G26:G28)</f>
        <v>0</v>
      </c>
      <c r="H25" s="613">
        <f>SUM(H26:H28)</f>
        <v>0</v>
      </c>
      <c r="I25" s="613">
        <f>SUM(I26:I28)</f>
        <v>7452000</v>
      </c>
      <c r="J25" s="614"/>
      <c r="K25" s="615"/>
      <c r="L25" s="615"/>
      <c r="M25" s="615"/>
      <c r="N25" s="615"/>
    </row>
    <row r="26" spans="1:12" s="169" customFormat="1" ht="27.75" customHeight="1">
      <c r="A26" s="217" t="s">
        <v>461</v>
      </c>
      <c r="B26" s="218" t="s">
        <v>464</v>
      </c>
      <c r="C26" s="608"/>
      <c r="D26" s="608"/>
      <c r="E26" s="609">
        <f>SUM(F26:I26)</f>
        <v>5142000</v>
      </c>
      <c r="F26" s="609"/>
      <c r="G26" s="609"/>
      <c r="H26" s="609"/>
      <c r="I26" s="609">
        <v>5142000</v>
      </c>
      <c r="J26" s="611"/>
      <c r="K26" s="101"/>
      <c r="L26" s="32"/>
    </row>
    <row r="27" spans="1:12" s="169" customFormat="1" ht="27.75" customHeight="1">
      <c r="A27" s="217" t="s">
        <v>462</v>
      </c>
      <c r="B27" s="218" t="s">
        <v>261</v>
      </c>
      <c r="C27" s="608"/>
      <c r="D27" s="608"/>
      <c r="E27" s="609">
        <f>SUM(F27:I27)</f>
        <v>1760000</v>
      </c>
      <c r="F27" s="609"/>
      <c r="G27" s="609"/>
      <c r="H27" s="609"/>
      <c r="I27" s="609">
        <v>1760000</v>
      </c>
      <c r="J27" s="611"/>
      <c r="K27" s="101"/>
      <c r="L27" s="32"/>
    </row>
    <row r="28" spans="1:12" s="169" customFormat="1" ht="33.75" customHeight="1">
      <c r="A28" s="217" t="s">
        <v>463</v>
      </c>
      <c r="B28" s="218" t="s">
        <v>76</v>
      </c>
      <c r="C28" s="608"/>
      <c r="D28" s="608"/>
      <c r="E28" s="609">
        <f>SUM(F28:I28)</f>
        <v>550000</v>
      </c>
      <c r="F28" s="609"/>
      <c r="G28" s="609"/>
      <c r="H28" s="609"/>
      <c r="I28" s="609">
        <v>550000</v>
      </c>
      <c r="J28" s="611"/>
      <c r="K28" s="101"/>
      <c r="L28" s="32"/>
    </row>
    <row r="29" spans="1:12" s="169" customFormat="1" ht="26.25" customHeight="1">
      <c r="A29" s="227">
        <v>6</v>
      </c>
      <c r="B29" s="228" t="s">
        <v>307</v>
      </c>
      <c r="C29" s="612"/>
      <c r="D29" s="613"/>
      <c r="E29" s="613">
        <f>SUM(F29:I29)</f>
        <v>30000</v>
      </c>
      <c r="F29" s="613"/>
      <c r="G29" s="613"/>
      <c r="H29" s="613"/>
      <c r="I29" s="613">
        <v>30000</v>
      </c>
      <c r="J29" s="616"/>
      <c r="K29" s="101"/>
      <c r="L29" s="32"/>
    </row>
    <row r="30" spans="1:12" s="169" customFormat="1" ht="26.25" customHeight="1" thickBot="1">
      <c r="A30" s="267">
        <v>7</v>
      </c>
      <c r="B30" s="268" t="s">
        <v>465</v>
      </c>
      <c r="C30" s="617"/>
      <c r="D30" s="617"/>
      <c r="E30" s="618">
        <f>SUM(F30:I30)</f>
        <v>464000</v>
      </c>
      <c r="F30" s="618"/>
      <c r="G30" s="618"/>
      <c r="H30" s="618"/>
      <c r="I30" s="618">
        <v>464000</v>
      </c>
      <c r="J30" s="619"/>
      <c r="K30" s="101"/>
      <c r="L30" s="32"/>
    </row>
    <row r="31" spans="2:11" s="1" customFormat="1" ht="16.5">
      <c r="B31" s="161"/>
      <c r="C31" s="58"/>
      <c r="D31" s="58"/>
      <c r="G31" s="158"/>
      <c r="H31" s="158"/>
      <c r="I31" s="158"/>
      <c r="K31" s="105"/>
    </row>
    <row r="32" spans="2:11" s="1" customFormat="1" ht="17.25">
      <c r="B32" s="621" t="s">
        <v>77</v>
      </c>
      <c r="C32" s="621"/>
      <c r="D32" s="621"/>
      <c r="E32" s="621"/>
      <c r="F32" s="621"/>
      <c r="G32" s="621"/>
      <c r="H32" s="621"/>
      <c r="I32" s="621"/>
      <c r="J32" s="621"/>
      <c r="K32" s="105"/>
    </row>
    <row r="33" spans="2:11" s="1" customFormat="1" ht="16.5">
      <c r="B33" s="253" t="s">
        <v>78</v>
      </c>
      <c r="C33" s="253"/>
      <c r="D33" s="253"/>
      <c r="E33" s="253"/>
      <c r="F33" s="253"/>
      <c r="G33" s="253"/>
      <c r="H33" s="253"/>
      <c r="I33" s="253"/>
      <c r="J33" s="253"/>
      <c r="K33" s="105"/>
    </row>
    <row r="34" spans="2:11" s="1" customFormat="1" ht="16.5">
      <c r="B34" s="253" t="s">
        <v>79</v>
      </c>
      <c r="C34" s="253"/>
      <c r="D34" s="253"/>
      <c r="E34" s="253"/>
      <c r="F34" s="253"/>
      <c r="G34" s="253"/>
      <c r="H34" s="620"/>
      <c r="I34" s="620"/>
      <c r="J34" s="207"/>
      <c r="K34" s="105"/>
    </row>
  </sheetData>
  <sheetProtection/>
  <mergeCells count="14">
    <mergeCell ref="I4:J4"/>
    <mergeCell ref="B34:G34"/>
    <mergeCell ref="B32:J32"/>
    <mergeCell ref="B33:J33"/>
    <mergeCell ref="A1:J1"/>
    <mergeCell ref="A2:J2"/>
    <mergeCell ref="A3:J3"/>
    <mergeCell ref="J5:J6"/>
    <mergeCell ref="A5:A6"/>
    <mergeCell ref="B5:B6"/>
    <mergeCell ref="C5:C6"/>
    <mergeCell ref="D5:D6"/>
    <mergeCell ref="E5:E6"/>
    <mergeCell ref="F5:I5"/>
  </mergeCells>
  <printOptions horizontalCentered="1"/>
  <pageMargins left="0" right="0" top="0.5" bottom="0.5" header="0.5" footer="0"/>
  <pageSetup horizontalDpi="600" verticalDpi="600" orientation="landscape" paperSize="9" scale="95" r:id="rId1"/>
  <headerFooter alignWithMargins="0">
    <oddFooter>&amp;CPage &amp;P</oddFooter>
  </headerFooter>
</worksheet>
</file>

<file path=xl/worksheets/sheet17.xml><?xml version="1.0" encoding="utf-8"?>
<worksheet xmlns="http://schemas.openxmlformats.org/spreadsheetml/2006/main" xmlns:r="http://schemas.openxmlformats.org/officeDocument/2006/relationships">
  <dimension ref="A1:W91"/>
  <sheetViews>
    <sheetView zoomScalePageLayoutView="0" workbookViewId="0" topLeftCell="A1">
      <pane xSplit="2" ySplit="6" topLeftCell="C7" activePane="bottomRight" state="frozen"/>
      <selection pane="topLeft" activeCell="B11" sqref="B11"/>
      <selection pane="topRight" activeCell="B11" sqref="B11"/>
      <selection pane="bottomLeft" activeCell="B11" sqref="B11"/>
      <selection pane="bottomRight" activeCell="B10" sqref="B10"/>
    </sheetView>
  </sheetViews>
  <sheetFormatPr defaultColWidth="8.88671875" defaultRowHeight="16.5"/>
  <cols>
    <col min="1" max="1" width="4.77734375" style="32" customWidth="1"/>
    <col min="2" max="2" width="44.21484375" style="180" customWidth="1"/>
    <col min="3" max="3" width="8.10546875" style="32" customWidth="1"/>
    <col min="4" max="4" width="8.99609375" style="32" customWidth="1"/>
    <col min="5" max="5" width="12.21484375" style="32" customWidth="1"/>
    <col min="6" max="6" width="10.99609375" style="32" customWidth="1"/>
    <col min="7" max="7" width="12.21484375" style="181" customWidth="1"/>
    <col min="8" max="8" width="11.77734375" style="181" customWidth="1"/>
    <col min="9" max="9" width="12.6640625" style="181" customWidth="1"/>
    <col min="10" max="10" width="9.21484375" style="32" customWidth="1"/>
    <col min="11" max="11" width="11.3359375" style="37" customWidth="1"/>
    <col min="12" max="12" width="25.10546875" style="37" customWidth="1"/>
    <col min="13" max="13" width="8.88671875" style="37" customWidth="1"/>
    <col min="14" max="16384" width="8.88671875" style="32" customWidth="1"/>
  </cols>
  <sheetData>
    <row r="1" spans="1:10" ht="16.5" customHeight="1">
      <c r="A1" s="236" t="s">
        <v>368</v>
      </c>
      <c r="B1" s="236"/>
      <c r="C1" s="236"/>
      <c r="D1" s="236"/>
      <c r="E1" s="236"/>
      <c r="F1" s="236"/>
      <c r="G1" s="236"/>
      <c r="H1" s="236"/>
      <c r="I1" s="236"/>
      <c r="J1" s="236"/>
    </row>
    <row r="2" spans="1:10" ht="21" customHeight="1">
      <c r="A2" s="248" t="s">
        <v>515</v>
      </c>
      <c r="B2" s="248"/>
      <c r="C2" s="248"/>
      <c r="D2" s="248"/>
      <c r="E2" s="248"/>
      <c r="F2" s="248"/>
      <c r="G2" s="248"/>
      <c r="H2" s="248"/>
      <c r="I2" s="248"/>
      <c r="J2" s="248"/>
    </row>
    <row r="3" spans="1:10" ht="21" customHeight="1">
      <c r="A3" s="249" t="str">
        <f>'Biểu 11'!A3:J3</f>
        <v>(Kèm theo Nghị quyết số 86/NĐ-HĐND ngày 18 tháng 12 năm 2015 của HĐND huyện Sông Mã)</v>
      </c>
      <c r="B3" s="249"/>
      <c r="C3" s="249"/>
      <c r="D3" s="249"/>
      <c r="E3" s="249"/>
      <c r="F3" s="249"/>
      <c r="G3" s="249"/>
      <c r="H3" s="249"/>
      <c r="I3" s="249"/>
      <c r="J3" s="249"/>
    </row>
    <row r="4" spans="1:10" ht="21.75" customHeight="1" thickBot="1">
      <c r="A4" s="27"/>
      <c r="B4" s="36"/>
      <c r="C4" s="33"/>
      <c r="D4" s="34"/>
      <c r="E4" s="35"/>
      <c r="F4" s="35"/>
      <c r="G4" s="171"/>
      <c r="H4" s="171"/>
      <c r="I4" s="632" t="s">
        <v>149</v>
      </c>
      <c r="J4" s="632"/>
    </row>
    <row r="5" spans="1:13" s="172" customFormat="1" ht="19.5" customHeight="1">
      <c r="A5" s="235" t="s">
        <v>97</v>
      </c>
      <c r="B5" s="210" t="s">
        <v>159</v>
      </c>
      <c r="C5" s="210" t="s">
        <v>238</v>
      </c>
      <c r="D5" s="210" t="s">
        <v>232</v>
      </c>
      <c r="E5" s="210" t="s">
        <v>523</v>
      </c>
      <c r="F5" s="210" t="s">
        <v>102</v>
      </c>
      <c r="G5" s="210"/>
      <c r="H5" s="210"/>
      <c r="I5" s="210"/>
      <c r="J5" s="599" t="s">
        <v>144</v>
      </c>
      <c r="K5" s="166"/>
      <c r="L5" s="166"/>
      <c r="M5" s="166"/>
    </row>
    <row r="6" spans="1:13" s="172" customFormat="1" ht="37.5" customHeight="1">
      <c r="A6" s="597"/>
      <c r="B6" s="258"/>
      <c r="C6" s="211"/>
      <c r="D6" s="211"/>
      <c r="E6" s="258"/>
      <c r="F6" s="199" t="s">
        <v>603</v>
      </c>
      <c r="G6" s="600" t="s">
        <v>225</v>
      </c>
      <c r="H6" s="600" t="s">
        <v>233</v>
      </c>
      <c r="I6" s="600" t="s">
        <v>440</v>
      </c>
      <c r="J6" s="601"/>
      <c r="K6" s="166"/>
      <c r="L6" s="166"/>
      <c r="M6" s="166"/>
    </row>
    <row r="7" spans="1:23" s="172" customFormat="1" ht="18.75" customHeight="1">
      <c r="A7" s="213" t="s">
        <v>146</v>
      </c>
      <c r="B7" s="199" t="s">
        <v>145</v>
      </c>
      <c r="C7" s="208">
        <v>1</v>
      </c>
      <c r="D7" s="208">
        <v>2</v>
      </c>
      <c r="E7" s="199" t="s">
        <v>441</v>
      </c>
      <c r="F7" s="199" t="s">
        <v>442</v>
      </c>
      <c r="G7" s="199">
        <v>5</v>
      </c>
      <c r="H7" s="199">
        <v>6</v>
      </c>
      <c r="I7" s="199">
        <v>7</v>
      </c>
      <c r="J7" s="622">
        <v>8</v>
      </c>
      <c r="K7" s="37"/>
      <c r="L7" s="37"/>
      <c r="M7" s="37"/>
      <c r="N7" s="32"/>
      <c r="O7" s="32"/>
      <c r="P7" s="32"/>
      <c r="Q7" s="32"/>
      <c r="R7" s="32"/>
      <c r="S7" s="32"/>
      <c r="T7" s="32"/>
      <c r="U7" s="32"/>
      <c r="V7" s="32"/>
      <c r="W7" s="32"/>
    </row>
    <row r="8" spans="1:23" s="154" customFormat="1" ht="21" customHeight="1">
      <c r="A8" s="213"/>
      <c r="B8" s="214" t="s">
        <v>524</v>
      </c>
      <c r="C8" s="604"/>
      <c r="D8" s="605"/>
      <c r="E8" s="605">
        <f>E9+E19+E53</f>
        <v>24680000</v>
      </c>
      <c r="F8" s="605">
        <f>F9+F19+F53</f>
        <v>3147000</v>
      </c>
      <c r="G8" s="605">
        <f>G9+G19+G53</f>
        <v>13552660</v>
      </c>
      <c r="H8" s="605">
        <f>H9+H19+H53</f>
        <v>660000</v>
      </c>
      <c r="I8" s="605">
        <f>I9+I19+I53</f>
        <v>7230340</v>
      </c>
      <c r="J8" s="606"/>
      <c r="K8" s="37"/>
      <c r="L8" s="37"/>
      <c r="M8" s="37"/>
      <c r="N8" s="32"/>
      <c r="O8" s="32"/>
      <c r="P8" s="32"/>
      <c r="Q8" s="32"/>
      <c r="R8" s="32"/>
      <c r="S8" s="32"/>
      <c r="T8" s="32"/>
      <c r="U8" s="32"/>
      <c r="V8" s="32"/>
      <c r="W8" s="32"/>
    </row>
    <row r="9" spans="1:23" s="170" customFormat="1" ht="21" customHeight="1">
      <c r="A9" s="212" t="s">
        <v>99</v>
      </c>
      <c r="B9" s="624" t="s">
        <v>80</v>
      </c>
      <c r="C9" s="604"/>
      <c r="D9" s="605"/>
      <c r="E9" s="605">
        <f>E10+E18+E17</f>
        <v>7375000</v>
      </c>
      <c r="F9" s="605">
        <f>F10+F18</f>
        <v>798000</v>
      </c>
      <c r="G9" s="605">
        <f>G10+G18</f>
        <v>3923650</v>
      </c>
      <c r="H9" s="605">
        <f>H10+H18</f>
        <v>190000</v>
      </c>
      <c r="I9" s="605">
        <f>I10+I18</f>
        <v>2373350</v>
      </c>
      <c r="J9" s="607"/>
      <c r="K9" s="37"/>
      <c r="L9" s="37"/>
      <c r="M9" s="173"/>
      <c r="N9" s="168"/>
      <c r="O9" s="168"/>
      <c r="P9" s="168"/>
      <c r="Q9" s="168"/>
      <c r="R9" s="168"/>
      <c r="S9" s="168"/>
      <c r="T9" s="168"/>
      <c r="U9" s="168"/>
      <c r="V9" s="168"/>
      <c r="W9" s="168"/>
    </row>
    <row r="10" spans="1:23" s="169" customFormat="1" ht="21" customHeight="1">
      <c r="A10" s="227">
        <v>1</v>
      </c>
      <c r="B10" s="228" t="s">
        <v>170</v>
      </c>
      <c r="C10" s="612"/>
      <c r="D10" s="613"/>
      <c r="E10" s="613">
        <f>SUM(E11:E16)</f>
        <v>7195000</v>
      </c>
      <c r="F10" s="613">
        <f>SUM(F11:F16)</f>
        <v>798000</v>
      </c>
      <c r="G10" s="613">
        <f>SUM(G11:G16)</f>
        <v>3923650</v>
      </c>
      <c r="H10" s="613">
        <f>SUM(H11:H16)</f>
        <v>190000</v>
      </c>
      <c r="I10" s="613">
        <f>SUM(I11:I16)</f>
        <v>2283350</v>
      </c>
      <c r="J10" s="614"/>
      <c r="K10" s="37"/>
      <c r="L10" s="37"/>
      <c r="M10" s="173"/>
      <c r="N10" s="168"/>
      <c r="O10" s="168"/>
      <c r="P10" s="168"/>
      <c r="Q10" s="168"/>
      <c r="R10" s="168"/>
      <c r="S10" s="168"/>
      <c r="T10" s="168"/>
      <c r="U10" s="168"/>
      <c r="V10" s="168"/>
      <c r="W10" s="168"/>
    </row>
    <row r="11" spans="1:23" s="169" customFormat="1" ht="21" customHeight="1">
      <c r="A11" s="217"/>
      <c r="B11" s="218" t="s">
        <v>148</v>
      </c>
      <c r="C11" s="608">
        <v>38</v>
      </c>
      <c r="D11" s="609">
        <v>21000</v>
      </c>
      <c r="E11" s="609">
        <f aca="true" t="shared" si="0" ref="E11:E18">SUM(F11:I11)</f>
        <v>5540500</v>
      </c>
      <c r="F11" s="609">
        <f>C11*D11</f>
        <v>798000</v>
      </c>
      <c r="G11" s="609">
        <f>3910000+13650</f>
        <v>3923650</v>
      </c>
      <c r="H11" s="609">
        <v>190000</v>
      </c>
      <c r="I11" s="609">
        <f>450000+408850-90000-140000</f>
        <v>628850</v>
      </c>
      <c r="J11" s="606"/>
      <c r="K11" s="37"/>
      <c r="L11" s="37"/>
      <c r="M11" s="173"/>
      <c r="N11" s="168"/>
      <c r="O11" s="168"/>
      <c r="P11" s="168"/>
      <c r="Q11" s="168"/>
      <c r="R11" s="168"/>
      <c r="S11" s="168"/>
      <c r="T11" s="168"/>
      <c r="U11" s="168"/>
      <c r="V11" s="168"/>
      <c r="W11" s="168"/>
    </row>
    <row r="12" spans="1:23" s="169" customFormat="1" ht="17.25" customHeight="1">
      <c r="A12" s="217"/>
      <c r="B12" s="218" t="s">
        <v>466</v>
      </c>
      <c r="C12" s="608"/>
      <c r="D12" s="609"/>
      <c r="E12" s="609">
        <f>SUM(F12:I12)</f>
        <v>140000</v>
      </c>
      <c r="F12" s="609"/>
      <c r="G12" s="609"/>
      <c r="H12" s="609"/>
      <c r="I12" s="609">
        <v>140000</v>
      </c>
      <c r="J12" s="606"/>
      <c r="K12" s="101"/>
      <c r="L12" s="23"/>
      <c r="M12" s="173"/>
      <c r="N12" s="168"/>
      <c r="O12" s="168"/>
      <c r="P12" s="168"/>
      <c r="Q12" s="168"/>
      <c r="R12" s="168"/>
      <c r="S12" s="168"/>
      <c r="T12" s="168"/>
      <c r="U12" s="168"/>
      <c r="V12" s="168"/>
      <c r="W12" s="168"/>
    </row>
    <row r="13" spans="1:23" s="169" customFormat="1" ht="21" customHeight="1">
      <c r="A13" s="217"/>
      <c r="B13" s="218" t="s">
        <v>81</v>
      </c>
      <c r="C13" s="608"/>
      <c r="D13" s="609"/>
      <c r="E13" s="609">
        <f>SUM(F13:I13)</f>
        <v>135000</v>
      </c>
      <c r="F13" s="609"/>
      <c r="G13" s="609"/>
      <c r="H13" s="609"/>
      <c r="I13" s="609">
        <v>135000</v>
      </c>
      <c r="J13" s="606"/>
      <c r="K13" s="37"/>
      <c r="L13" s="37"/>
      <c r="M13" s="173"/>
      <c r="N13" s="168"/>
      <c r="O13" s="168"/>
      <c r="P13" s="168"/>
      <c r="Q13" s="168"/>
      <c r="R13" s="168"/>
      <c r="S13" s="168"/>
      <c r="T13" s="168"/>
      <c r="U13" s="168"/>
      <c r="V13" s="168"/>
      <c r="W13" s="168"/>
    </row>
    <row r="14" spans="1:23" s="169" customFormat="1" ht="33.75" customHeight="1">
      <c r="A14" s="217"/>
      <c r="B14" s="218" t="s">
        <v>243</v>
      </c>
      <c r="C14" s="608"/>
      <c r="D14" s="609"/>
      <c r="E14" s="609">
        <f>SUM(F14:I14)</f>
        <v>100000</v>
      </c>
      <c r="F14" s="609"/>
      <c r="G14" s="609"/>
      <c r="H14" s="609"/>
      <c r="I14" s="609">
        <v>100000</v>
      </c>
      <c r="J14" s="606"/>
      <c r="K14" s="37"/>
      <c r="L14" s="37"/>
      <c r="M14" s="173"/>
      <c r="N14" s="168"/>
      <c r="O14" s="168"/>
      <c r="P14" s="168"/>
      <c r="Q14" s="168"/>
      <c r="R14" s="168"/>
      <c r="S14" s="168"/>
      <c r="T14" s="168"/>
      <c r="U14" s="168"/>
      <c r="V14" s="168"/>
      <c r="W14" s="168"/>
    </row>
    <row r="15" spans="1:23" s="169" customFormat="1" ht="21" customHeight="1">
      <c r="A15" s="217"/>
      <c r="B15" s="218" t="s">
        <v>82</v>
      </c>
      <c r="C15" s="608"/>
      <c r="D15" s="609"/>
      <c r="E15" s="609">
        <f t="shared" si="0"/>
        <v>379500</v>
      </c>
      <c r="F15" s="609"/>
      <c r="G15" s="609"/>
      <c r="H15" s="609"/>
      <c r="I15" s="609">
        <v>379500</v>
      </c>
      <c r="J15" s="606"/>
      <c r="K15" s="37"/>
      <c r="L15" s="37"/>
      <c r="M15" s="173"/>
      <c r="N15" s="168"/>
      <c r="O15" s="168"/>
      <c r="P15" s="168"/>
      <c r="Q15" s="168"/>
      <c r="R15" s="168"/>
      <c r="S15" s="168"/>
      <c r="T15" s="168"/>
      <c r="U15" s="168"/>
      <c r="V15" s="168"/>
      <c r="W15" s="168"/>
    </row>
    <row r="16" spans="1:23" s="169" customFormat="1" ht="50.25" customHeight="1">
      <c r="A16" s="217"/>
      <c r="B16" s="218" t="s">
        <v>467</v>
      </c>
      <c r="C16" s="608"/>
      <c r="D16" s="609"/>
      <c r="E16" s="609">
        <f t="shared" si="0"/>
        <v>900000</v>
      </c>
      <c r="F16" s="609"/>
      <c r="G16" s="609"/>
      <c r="H16" s="609"/>
      <c r="I16" s="609">
        <f>450000+450000</f>
        <v>900000</v>
      </c>
      <c r="J16" s="606"/>
      <c r="K16" s="37"/>
      <c r="L16" s="37"/>
      <c r="M16" s="173"/>
      <c r="N16" s="168"/>
      <c r="O16" s="168"/>
      <c r="P16" s="168"/>
      <c r="Q16" s="168"/>
      <c r="R16" s="168"/>
      <c r="S16" s="168"/>
      <c r="T16" s="168"/>
      <c r="U16" s="168"/>
      <c r="V16" s="168"/>
      <c r="W16" s="168"/>
    </row>
    <row r="17" spans="1:23" s="169" customFormat="1" ht="21" customHeight="1">
      <c r="A17" s="227">
        <v>2</v>
      </c>
      <c r="B17" s="228" t="s">
        <v>160</v>
      </c>
      <c r="C17" s="612"/>
      <c r="D17" s="613"/>
      <c r="E17" s="613">
        <f>SUM(F17:I17)</f>
        <v>90000</v>
      </c>
      <c r="F17" s="613"/>
      <c r="G17" s="613"/>
      <c r="H17" s="613"/>
      <c r="I17" s="613">
        <v>90000</v>
      </c>
      <c r="J17" s="614"/>
      <c r="K17" s="37"/>
      <c r="L17" s="37"/>
      <c r="M17" s="173"/>
      <c r="N17" s="168"/>
      <c r="O17" s="168"/>
      <c r="P17" s="168"/>
      <c r="Q17" s="168"/>
      <c r="R17" s="168"/>
      <c r="S17" s="168"/>
      <c r="T17" s="168"/>
      <c r="U17" s="168"/>
      <c r="V17" s="168"/>
      <c r="W17" s="168"/>
    </row>
    <row r="18" spans="1:23" s="169" customFormat="1" ht="21" customHeight="1">
      <c r="A18" s="227">
        <v>3</v>
      </c>
      <c r="B18" s="228" t="s">
        <v>446</v>
      </c>
      <c r="C18" s="612"/>
      <c r="D18" s="613"/>
      <c r="E18" s="613">
        <f t="shared" si="0"/>
        <v>90000</v>
      </c>
      <c r="F18" s="613"/>
      <c r="G18" s="613"/>
      <c r="H18" s="613"/>
      <c r="I18" s="613">
        <v>90000</v>
      </c>
      <c r="J18" s="614"/>
      <c r="K18" s="37"/>
      <c r="L18" s="37"/>
      <c r="M18" s="173"/>
      <c r="N18" s="168"/>
      <c r="O18" s="168"/>
      <c r="P18" s="168"/>
      <c r="Q18" s="168"/>
      <c r="R18" s="168"/>
      <c r="S18" s="168"/>
      <c r="T18" s="168"/>
      <c r="U18" s="168"/>
      <c r="V18" s="168"/>
      <c r="W18" s="168"/>
    </row>
    <row r="19" spans="1:23" s="170" customFormat="1" ht="21" customHeight="1">
      <c r="A19" s="212" t="s">
        <v>100</v>
      </c>
      <c r="B19" s="624" t="s">
        <v>83</v>
      </c>
      <c r="C19" s="604">
        <f>SUM(C20:C50)</f>
        <v>91</v>
      </c>
      <c r="D19" s="604"/>
      <c r="E19" s="605">
        <f>SUM(E20,E29,E32,E36,E39:E41,E44:E47,E50,E51:E52)</f>
        <v>13225000</v>
      </c>
      <c r="F19" s="605">
        <f>SUM(F20,F29,F32,F36,F39:F41,F44:F47,F50,F51:F52)</f>
        <v>1781000</v>
      </c>
      <c r="G19" s="605">
        <f>SUM(G20,G29,G32,G36,G39:G41,G44:G47,G50,G51:G52)</f>
        <v>7188000</v>
      </c>
      <c r="H19" s="605">
        <f>SUM(H20,H29,H32,H36,H39:H41,H44:H47,H50,H51:H52)</f>
        <v>320000</v>
      </c>
      <c r="I19" s="605">
        <f>SUM(I20,I29,I32,I36,I39:I41,I44:I47,I50,I51:I52)</f>
        <v>3936000</v>
      </c>
      <c r="J19" s="610"/>
      <c r="K19" s="37"/>
      <c r="L19" s="37"/>
      <c r="M19" s="173"/>
      <c r="N19" s="168"/>
      <c r="O19" s="168"/>
      <c r="P19" s="168"/>
      <c r="Q19" s="168"/>
      <c r="R19" s="168"/>
      <c r="S19" s="168"/>
      <c r="T19" s="168"/>
      <c r="U19" s="168"/>
      <c r="V19" s="168"/>
      <c r="W19" s="168"/>
    </row>
    <row r="20" spans="1:23" s="169" customFormat="1" ht="19.5" customHeight="1">
      <c r="A20" s="217">
        <v>1</v>
      </c>
      <c r="B20" s="218" t="s">
        <v>584</v>
      </c>
      <c r="C20" s="608"/>
      <c r="D20" s="608"/>
      <c r="E20" s="609">
        <f>SUM(E21:E28)</f>
        <v>4444640</v>
      </c>
      <c r="F20" s="609">
        <f>SUM(F21:F28)</f>
        <v>546000</v>
      </c>
      <c r="G20" s="609">
        <f>SUM(G21:G28)</f>
        <v>1997640</v>
      </c>
      <c r="H20" s="609">
        <f>SUM(H21:H28)</f>
        <v>90000</v>
      </c>
      <c r="I20" s="609">
        <f>SUM(I21:I28)</f>
        <v>1811000</v>
      </c>
      <c r="J20" s="606"/>
      <c r="K20" s="37"/>
      <c r="L20" s="37"/>
      <c r="M20" s="173"/>
      <c r="N20" s="168"/>
      <c r="O20" s="168"/>
      <c r="P20" s="168"/>
      <c r="Q20" s="168"/>
      <c r="R20" s="168"/>
      <c r="S20" s="168"/>
      <c r="T20" s="168"/>
      <c r="U20" s="168"/>
      <c r="V20" s="168"/>
      <c r="W20" s="168"/>
    </row>
    <row r="21" spans="1:23" s="169" customFormat="1" ht="17.25" customHeight="1">
      <c r="A21" s="217"/>
      <c r="B21" s="218" t="s">
        <v>148</v>
      </c>
      <c r="C21" s="608">
        <v>26</v>
      </c>
      <c r="D21" s="608">
        <v>21000</v>
      </c>
      <c r="E21" s="609">
        <f aca="true" t="shared" si="1" ref="E21:E28">SUM(F21:I21)</f>
        <v>3183640</v>
      </c>
      <c r="F21" s="609">
        <f>+C21*D21</f>
        <v>546000</v>
      </c>
      <c r="G21" s="609">
        <f>2075000-80000+2640</f>
        <v>1997640</v>
      </c>
      <c r="H21" s="609">
        <v>90000</v>
      </c>
      <c r="I21" s="609">
        <f>650000-100000</f>
        <v>550000</v>
      </c>
      <c r="J21" s="606"/>
      <c r="K21" s="37"/>
      <c r="L21" s="174"/>
      <c r="M21" s="173"/>
      <c r="N21" s="168"/>
      <c r="O21" s="168"/>
      <c r="P21" s="168"/>
      <c r="Q21" s="168"/>
      <c r="R21" s="168"/>
      <c r="S21" s="168"/>
      <c r="T21" s="168"/>
      <c r="U21" s="168"/>
      <c r="V21" s="168"/>
      <c r="W21" s="168"/>
    </row>
    <row r="22" spans="1:23" s="169" customFormat="1" ht="17.25" customHeight="1">
      <c r="A22" s="217"/>
      <c r="B22" s="218" t="s">
        <v>466</v>
      </c>
      <c r="C22" s="608"/>
      <c r="D22" s="609"/>
      <c r="E22" s="609">
        <f>SUM(F22:I22)</f>
        <v>100000</v>
      </c>
      <c r="F22" s="609"/>
      <c r="G22" s="609"/>
      <c r="H22" s="609"/>
      <c r="I22" s="609">
        <v>100000</v>
      </c>
      <c r="J22" s="606"/>
      <c r="K22" s="37"/>
      <c r="L22" s="37"/>
      <c r="M22" s="173"/>
      <c r="N22" s="168"/>
      <c r="O22" s="168"/>
      <c r="P22" s="168"/>
      <c r="Q22" s="168"/>
      <c r="R22" s="168"/>
      <c r="S22" s="168"/>
      <c r="T22" s="168"/>
      <c r="U22" s="168"/>
      <c r="V22" s="168"/>
      <c r="W22" s="168"/>
    </row>
    <row r="23" spans="1:23" s="169" customFormat="1" ht="17.25" customHeight="1">
      <c r="A23" s="217"/>
      <c r="B23" s="218" t="s">
        <v>262</v>
      </c>
      <c r="C23" s="608"/>
      <c r="D23" s="609"/>
      <c r="E23" s="609">
        <f t="shared" si="1"/>
        <v>105000</v>
      </c>
      <c r="F23" s="609"/>
      <c r="G23" s="609"/>
      <c r="H23" s="609"/>
      <c r="I23" s="609">
        <v>105000</v>
      </c>
      <c r="J23" s="606"/>
      <c r="K23" s="37"/>
      <c r="L23" s="37"/>
      <c r="M23" s="173"/>
      <c r="N23" s="168"/>
      <c r="O23" s="168"/>
      <c r="P23" s="168"/>
      <c r="Q23" s="168"/>
      <c r="R23" s="168"/>
      <c r="S23" s="168"/>
      <c r="T23" s="168"/>
      <c r="U23" s="168"/>
      <c r="V23" s="168"/>
      <c r="W23" s="168"/>
    </row>
    <row r="24" spans="1:23" s="169" customFormat="1" ht="17.25" customHeight="1">
      <c r="A24" s="217"/>
      <c r="B24" s="218" t="s">
        <v>556</v>
      </c>
      <c r="C24" s="608"/>
      <c r="D24" s="609"/>
      <c r="E24" s="609">
        <f t="shared" si="1"/>
        <v>150000</v>
      </c>
      <c r="F24" s="609"/>
      <c r="G24" s="609"/>
      <c r="H24" s="609"/>
      <c r="I24" s="609">
        <v>150000</v>
      </c>
      <c r="J24" s="606"/>
      <c r="K24" s="37"/>
      <c r="L24" s="37"/>
      <c r="M24" s="173"/>
      <c r="N24" s="168"/>
      <c r="O24" s="168"/>
      <c r="P24" s="168"/>
      <c r="Q24" s="168"/>
      <c r="R24" s="168"/>
      <c r="S24" s="168"/>
      <c r="T24" s="168"/>
      <c r="U24" s="168"/>
      <c r="V24" s="168"/>
      <c r="W24" s="168"/>
    </row>
    <row r="25" spans="1:23" s="169" customFormat="1" ht="17.25" customHeight="1">
      <c r="A25" s="217"/>
      <c r="B25" s="218" t="s">
        <v>324</v>
      </c>
      <c r="C25" s="608"/>
      <c r="D25" s="609"/>
      <c r="E25" s="609">
        <f t="shared" si="1"/>
        <v>30000</v>
      </c>
      <c r="F25" s="609"/>
      <c r="G25" s="609"/>
      <c r="H25" s="609"/>
      <c r="I25" s="609">
        <v>30000</v>
      </c>
      <c r="J25" s="606"/>
      <c r="K25" s="37"/>
      <c r="L25" s="37"/>
      <c r="M25" s="173"/>
      <c r="N25" s="168"/>
      <c r="O25" s="168"/>
      <c r="P25" s="168"/>
      <c r="Q25" s="168"/>
      <c r="R25" s="168"/>
      <c r="S25" s="168"/>
      <c r="T25" s="168"/>
      <c r="U25" s="168"/>
      <c r="V25" s="168"/>
      <c r="W25" s="168"/>
    </row>
    <row r="26" spans="1:23" s="169" customFormat="1" ht="17.25" customHeight="1">
      <c r="A26" s="217"/>
      <c r="B26" s="218" t="s">
        <v>263</v>
      </c>
      <c r="C26" s="608"/>
      <c r="D26" s="609"/>
      <c r="E26" s="609">
        <f t="shared" si="1"/>
        <v>221000</v>
      </c>
      <c r="F26" s="609"/>
      <c r="G26" s="609"/>
      <c r="H26" s="609"/>
      <c r="I26" s="609">
        <v>221000</v>
      </c>
      <c r="J26" s="606"/>
      <c r="K26" s="37"/>
      <c r="L26" s="37"/>
      <c r="M26" s="173"/>
      <c r="N26" s="168"/>
      <c r="O26" s="168"/>
      <c r="P26" s="168"/>
      <c r="Q26" s="168"/>
      <c r="R26" s="168"/>
      <c r="S26" s="168"/>
      <c r="T26" s="168"/>
      <c r="U26" s="168"/>
      <c r="V26" s="168"/>
      <c r="W26" s="168"/>
    </row>
    <row r="27" spans="1:23" s="169" customFormat="1" ht="17.25" customHeight="1">
      <c r="A27" s="217"/>
      <c r="B27" s="218" t="s">
        <v>279</v>
      </c>
      <c r="C27" s="608"/>
      <c r="D27" s="609"/>
      <c r="E27" s="609">
        <f t="shared" si="1"/>
        <v>615000</v>
      </c>
      <c r="F27" s="609"/>
      <c r="G27" s="609"/>
      <c r="H27" s="609"/>
      <c r="I27" s="609">
        <v>615000</v>
      </c>
      <c r="J27" s="606"/>
      <c r="K27" s="175"/>
      <c r="L27" s="37"/>
      <c r="M27" s="173"/>
      <c r="N27" s="168"/>
      <c r="O27" s="168"/>
      <c r="P27" s="168"/>
      <c r="Q27" s="168"/>
      <c r="R27" s="168"/>
      <c r="S27" s="168"/>
      <c r="T27" s="168"/>
      <c r="U27" s="168"/>
      <c r="V27" s="168"/>
      <c r="W27" s="168"/>
    </row>
    <row r="28" spans="1:23" s="169" customFormat="1" ht="33" customHeight="1">
      <c r="A28" s="217"/>
      <c r="B28" s="218" t="s">
        <v>468</v>
      </c>
      <c r="C28" s="608"/>
      <c r="D28" s="609"/>
      <c r="E28" s="609">
        <f t="shared" si="1"/>
        <v>40000</v>
      </c>
      <c r="F28" s="609"/>
      <c r="G28" s="609"/>
      <c r="H28" s="609"/>
      <c r="I28" s="609">
        <v>40000</v>
      </c>
      <c r="J28" s="606"/>
      <c r="K28" s="37"/>
      <c r="L28" s="37"/>
      <c r="M28" s="173"/>
      <c r="N28" s="168"/>
      <c r="O28" s="168"/>
      <c r="P28" s="168"/>
      <c r="Q28" s="168"/>
      <c r="R28" s="168"/>
      <c r="S28" s="168"/>
      <c r="T28" s="168"/>
      <c r="U28" s="168"/>
      <c r="V28" s="168"/>
      <c r="W28" s="168"/>
    </row>
    <row r="29" spans="1:23" s="169" customFormat="1" ht="17.25" customHeight="1">
      <c r="A29" s="217">
        <v>2</v>
      </c>
      <c r="B29" s="226" t="s">
        <v>161</v>
      </c>
      <c r="C29" s="608"/>
      <c r="D29" s="609">
        <f aca="true" t="shared" si="2" ref="D29:I29">SUM(D30:D31)</f>
        <v>19000</v>
      </c>
      <c r="E29" s="609">
        <f t="shared" si="2"/>
        <v>1191000</v>
      </c>
      <c r="F29" s="609">
        <f t="shared" si="2"/>
        <v>171000</v>
      </c>
      <c r="G29" s="609">
        <f t="shared" si="2"/>
        <v>645000</v>
      </c>
      <c r="H29" s="609">
        <f t="shared" si="2"/>
        <v>30000</v>
      </c>
      <c r="I29" s="609">
        <f t="shared" si="2"/>
        <v>345000</v>
      </c>
      <c r="J29" s="606"/>
      <c r="K29" s="37"/>
      <c r="L29" s="37"/>
      <c r="M29" s="173"/>
      <c r="N29" s="168"/>
      <c r="O29" s="168"/>
      <c r="P29" s="168"/>
      <c r="Q29" s="168"/>
      <c r="R29" s="168"/>
      <c r="S29" s="168"/>
      <c r="T29" s="168"/>
      <c r="U29" s="168"/>
      <c r="V29" s="168"/>
      <c r="W29" s="168"/>
    </row>
    <row r="30" spans="1:23" s="169" customFormat="1" ht="17.25" customHeight="1">
      <c r="A30" s="217"/>
      <c r="B30" s="226" t="s">
        <v>148</v>
      </c>
      <c r="C30" s="608">
        <v>9</v>
      </c>
      <c r="D30" s="609">
        <v>19000</v>
      </c>
      <c r="E30" s="609">
        <f>SUM(F30:I30)</f>
        <v>991000</v>
      </c>
      <c r="F30" s="609">
        <f>+C30*D30</f>
        <v>171000</v>
      </c>
      <c r="G30" s="623">
        <f>665000-20000</f>
        <v>645000</v>
      </c>
      <c r="H30" s="623">
        <v>30000</v>
      </c>
      <c r="I30" s="609">
        <v>145000</v>
      </c>
      <c r="J30" s="606"/>
      <c r="K30" s="37"/>
      <c r="L30" s="37"/>
      <c r="M30" s="173"/>
      <c r="N30" s="168"/>
      <c r="O30" s="168"/>
      <c r="P30" s="168"/>
      <c r="Q30" s="168"/>
      <c r="R30" s="168"/>
      <c r="S30" s="168"/>
      <c r="T30" s="168"/>
      <c r="U30" s="168"/>
      <c r="V30" s="168"/>
      <c r="W30" s="168"/>
    </row>
    <row r="31" spans="1:23" s="169" customFormat="1" ht="33.75" customHeight="1">
      <c r="A31" s="217"/>
      <c r="B31" s="218" t="s">
        <v>469</v>
      </c>
      <c r="C31" s="608"/>
      <c r="D31" s="609"/>
      <c r="E31" s="609">
        <f>SUM(F31:I31)</f>
        <v>200000</v>
      </c>
      <c r="F31" s="609"/>
      <c r="G31" s="609"/>
      <c r="H31" s="609"/>
      <c r="I31" s="609">
        <v>200000</v>
      </c>
      <c r="J31" s="606"/>
      <c r="K31" s="37"/>
      <c r="L31" s="37"/>
      <c r="M31" s="173"/>
      <c r="N31" s="168"/>
      <c r="O31" s="168"/>
      <c r="P31" s="168"/>
      <c r="Q31" s="168"/>
      <c r="R31" s="168"/>
      <c r="S31" s="168"/>
      <c r="T31" s="168"/>
      <c r="U31" s="168"/>
      <c r="V31" s="168"/>
      <c r="W31" s="168"/>
    </row>
    <row r="32" spans="1:23" s="169" customFormat="1" ht="17.25" customHeight="1">
      <c r="A32" s="217">
        <v>3</v>
      </c>
      <c r="B32" s="226" t="s">
        <v>142</v>
      </c>
      <c r="C32" s="608"/>
      <c r="D32" s="609"/>
      <c r="E32" s="609">
        <f>SUM(E33:E35)</f>
        <v>590000</v>
      </c>
      <c r="F32" s="609">
        <f>SUM(F33:F35)</f>
        <v>76000</v>
      </c>
      <c r="G32" s="609">
        <f>SUM(G33:G35)</f>
        <v>334000</v>
      </c>
      <c r="H32" s="609">
        <f>SUM(H33:H35)</f>
        <v>15000</v>
      </c>
      <c r="I32" s="609">
        <f>SUM(I33:I35)</f>
        <v>165000</v>
      </c>
      <c r="J32" s="606"/>
      <c r="K32" s="37"/>
      <c r="L32" s="37"/>
      <c r="M32" s="173"/>
      <c r="N32" s="168"/>
      <c r="O32" s="168"/>
      <c r="P32" s="168"/>
      <c r="Q32" s="168"/>
      <c r="R32" s="168"/>
      <c r="S32" s="168"/>
      <c r="T32" s="168"/>
      <c r="U32" s="168"/>
      <c r="V32" s="168"/>
      <c r="W32" s="168"/>
    </row>
    <row r="33" spans="1:23" s="169" customFormat="1" ht="17.25" customHeight="1">
      <c r="A33" s="217"/>
      <c r="B33" s="226" t="s">
        <v>148</v>
      </c>
      <c r="C33" s="608">
        <v>4</v>
      </c>
      <c r="D33" s="609">
        <v>19000</v>
      </c>
      <c r="E33" s="609">
        <f>SUM(F33:I33)</f>
        <v>470000</v>
      </c>
      <c r="F33" s="609">
        <f>+C33*D33</f>
        <v>76000</v>
      </c>
      <c r="G33" s="623">
        <f>344000-10000</f>
        <v>334000</v>
      </c>
      <c r="H33" s="623">
        <v>15000</v>
      </c>
      <c r="I33" s="609">
        <v>45000</v>
      </c>
      <c r="J33" s="606"/>
      <c r="K33" s="37"/>
      <c r="L33" s="37"/>
      <c r="M33" s="173"/>
      <c r="N33" s="168"/>
      <c r="O33" s="168"/>
      <c r="P33" s="168"/>
      <c r="Q33" s="168"/>
      <c r="R33" s="168"/>
      <c r="S33" s="168"/>
      <c r="T33" s="168"/>
      <c r="U33" s="168"/>
      <c r="V33" s="168"/>
      <c r="W33" s="168"/>
    </row>
    <row r="34" spans="1:23" s="169" customFormat="1" ht="17.25" customHeight="1">
      <c r="A34" s="217"/>
      <c r="B34" s="218" t="s">
        <v>132</v>
      </c>
      <c r="C34" s="608"/>
      <c r="D34" s="609"/>
      <c r="E34" s="609">
        <f>SUM(F34:I34)</f>
        <v>105000</v>
      </c>
      <c r="F34" s="609"/>
      <c r="G34" s="609"/>
      <c r="H34" s="609"/>
      <c r="I34" s="609">
        <v>105000</v>
      </c>
      <c r="J34" s="606"/>
      <c r="K34" s="37"/>
      <c r="L34" s="37"/>
      <c r="M34" s="173"/>
      <c r="N34" s="168"/>
      <c r="O34" s="168"/>
      <c r="P34" s="168"/>
      <c r="Q34" s="168"/>
      <c r="R34" s="168"/>
      <c r="S34" s="168"/>
      <c r="T34" s="168"/>
      <c r="U34" s="168"/>
      <c r="V34" s="168"/>
      <c r="W34" s="168"/>
    </row>
    <row r="35" spans="1:23" s="169" customFormat="1" ht="35.25" customHeight="1">
      <c r="A35" s="217"/>
      <c r="B35" s="218" t="s">
        <v>470</v>
      </c>
      <c r="C35" s="608"/>
      <c r="D35" s="609"/>
      <c r="E35" s="609">
        <f>SUM(F35:I35)</f>
        <v>15000</v>
      </c>
      <c r="F35" s="609"/>
      <c r="G35" s="609"/>
      <c r="H35" s="609"/>
      <c r="I35" s="609">
        <v>15000</v>
      </c>
      <c r="J35" s="606"/>
      <c r="K35" s="37"/>
      <c r="L35" s="37"/>
      <c r="M35" s="173"/>
      <c r="N35" s="168"/>
      <c r="O35" s="168"/>
      <c r="P35" s="168"/>
      <c r="Q35" s="168"/>
      <c r="R35" s="168"/>
      <c r="S35" s="168"/>
      <c r="T35" s="168"/>
      <c r="U35" s="168"/>
      <c r="V35" s="168"/>
      <c r="W35" s="168"/>
    </row>
    <row r="36" spans="1:23" s="169" customFormat="1" ht="17.25" customHeight="1">
      <c r="A36" s="217">
        <v>4</v>
      </c>
      <c r="B36" s="226" t="s">
        <v>147</v>
      </c>
      <c r="C36" s="608"/>
      <c r="D36" s="609"/>
      <c r="E36" s="609">
        <f>SUM(E37:E38)</f>
        <v>781000</v>
      </c>
      <c r="F36" s="609">
        <f>SUM(F37:F38)</f>
        <v>114000</v>
      </c>
      <c r="G36" s="609">
        <f>SUM(G37:G38)</f>
        <v>432000</v>
      </c>
      <c r="H36" s="609">
        <f>SUM(H37:H38)</f>
        <v>20000</v>
      </c>
      <c r="I36" s="609">
        <f>SUM(I37:I38)</f>
        <v>215000</v>
      </c>
      <c r="J36" s="606"/>
      <c r="K36" s="37"/>
      <c r="L36" s="37"/>
      <c r="M36" s="173"/>
      <c r="N36" s="168"/>
      <c r="O36" s="168"/>
      <c r="P36" s="168"/>
      <c r="Q36" s="168"/>
      <c r="R36" s="168"/>
      <c r="S36" s="168"/>
      <c r="T36" s="168"/>
      <c r="U36" s="168"/>
      <c r="V36" s="168"/>
      <c r="W36" s="168"/>
    </row>
    <row r="37" spans="1:23" s="169" customFormat="1" ht="17.25" customHeight="1">
      <c r="A37" s="217"/>
      <c r="B37" s="218" t="s">
        <v>148</v>
      </c>
      <c r="C37" s="608">
        <v>6</v>
      </c>
      <c r="D37" s="609">
        <v>19000</v>
      </c>
      <c r="E37" s="609">
        <f aca="true" t="shared" si="3" ref="E37:E50">SUM(F37:I37)</f>
        <v>631000</v>
      </c>
      <c r="F37" s="609">
        <f>+C37*D37</f>
        <v>114000</v>
      </c>
      <c r="G37" s="623">
        <f>447000-15000</f>
        <v>432000</v>
      </c>
      <c r="H37" s="623">
        <v>20000</v>
      </c>
      <c r="I37" s="609">
        <v>65000</v>
      </c>
      <c r="J37" s="606"/>
      <c r="K37" s="37"/>
      <c r="L37" s="37"/>
      <c r="M37" s="173"/>
      <c r="N37" s="168"/>
      <c r="O37" s="168"/>
      <c r="P37" s="168"/>
      <c r="Q37" s="168"/>
      <c r="R37" s="168"/>
      <c r="S37" s="168"/>
      <c r="T37" s="168"/>
      <c r="U37" s="168"/>
      <c r="V37" s="168"/>
      <c r="W37" s="168"/>
    </row>
    <row r="38" spans="1:23" s="169" customFormat="1" ht="17.25" customHeight="1">
      <c r="A38" s="217"/>
      <c r="B38" s="226" t="s">
        <v>264</v>
      </c>
      <c r="C38" s="608"/>
      <c r="D38" s="609"/>
      <c r="E38" s="609">
        <f t="shared" si="3"/>
        <v>150000</v>
      </c>
      <c r="F38" s="609"/>
      <c r="G38" s="609"/>
      <c r="H38" s="609"/>
      <c r="I38" s="609">
        <v>150000</v>
      </c>
      <c r="J38" s="606"/>
      <c r="K38" s="37"/>
      <c r="L38" s="37"/>
      <c r="M38" s="173"/>
      <c r="N38" s="168"/>
      <c r="O38" s="168"/>
      <c r="P38" s="168"/>
      <c r="Q38" s="168"/>
      <c r="R38" s="168"/>
      <c r="S38" s="168"/>
      <c r="T38" s="168"/>
      <c r="U38" s="168"/>
      <c r="V38" s="168"/>
      <c r="W38" s="168"/>
    </row>
    <row r="39" spans="1:23" s="169" customFormat="1" ht="17.25" customHeight="1">
      <c r="A39" s="217">
        <v>5</v>
      </c>
      <c r="B39" s="226" t="s">
        <v>265</v>
      </c>
      <c r="C39" s="608">
        <v>5</v>
      </c>
      <c r="D39" s="609">
        <v>19000</v>
      </c>
      <c r="E39" s="609">
        <f t="shared" si="3"/>
        <v>815000</v>
      </c>
      <c r="F39" s="609">
        <f aca="true" t="shared" si="4" ref="F39:F50">+C39*D39</f>
        <v>95000</v>
      </c>
      <c r="G39" s="623">
        <f>615000-10000</f>
        <v>605000</v>
      </c>
      <c r="H39" s="623">
        <v>25000</v>
      </c>
      <c r="I39" s="609">
        <v>90000</v>
      </c>
      <c r="J39" s="606"/>
      <c r="K39" s="37"/>
      <c r="L39" s="37"/>
      <c r="M39" s="173"/>
      <c r="N39" s="168"/>
      <c r="O39" s="168"/>
      <c r="P39" s="168"/>
      <c r="Q39" s="168"/>
      <c r="R39" s="168"/>
      <c r="S39" s="168"/>
      <c r="T39" s="168"/>
      <c r="U39" s="168"/>
      <c r="V39" s="168"/>
      <c r="W39" s="168"/>
    </row>
    <row r="40" spans="1:23" s="169" customFormat="1" ht="17.25" customHeight="1">
      <c r="A40" s="217">
        <v>6</v>
      </c>
      <c r="B40" s="226" t="s">
        <v>226</v>
      </c>
      <c r="C40" s="608">
        <v>7</v>
      </c>
      <c r="D40" s="609">
        <v>19000</v>
      </c>
      <c r="E40" s="609">
        <f t="shared" si="3"/>
        <v>700000</v>
      </c>
      <c r="F40" s="609">
        <f t="shared" si="4"/>
        <v>133000</v>
      </c>
      <c r="G40" s="623">
        <f>497000-15000</f>
        <v>482000</v>
      </c>
      <c r="H40" s="623">
        <v>20000</v>
      </c>
      <c r="I40" s="609">
        <v>65000</v>
      </c>
      <c r="J40" s="606"/>
      <c r="K40" s="37"/>
      <c r="L40" s="37"/>
      <c r="M40" s="173"/>
      <c r="N40" s="168"/>
      <c r="O40" s="168"/>
      <c r="P40" s="168"/>
      <c r="Q40" s="168"/>
      <c r="R40" s="168"/>
      <c r="S40" s="168"/>
      <c r="T40" s="168"/>
      <c r="U40" s="168"/>
      <c r="V40" s="168"/>
      <c r="W40" s="168"/>
    </row>
    <row r="41" spans="1:23" s="169" customFormat="1" ht="17.25" customHeight="1">
      <c r="A41" s="217">
        <v>7</v>
      </c>
      <c r="B41" s="226" t="s">
        <v>151</v>
      </c>
      <c r="C41" s="608"/>
      <c r="D41" s="609"/>
      <c r="E41" s="609">
        <f>SUM(E42:E43)</f>
        <v>1431000</v>
      </c>
      <c r="F41" s="609">
        <f>SUM(F42:F43)</f>
        <v>133000</v>
      </c>
      <c r="G41" s="609">
        <f>SUM(G42:G43)</f>
        <v>553000</v>
      </c>
      <c r="H41" s="609">
        <f>SUM(H42:H43)</f>
        <v>25000</v>
      </c>
      <c r="I41" s="609">
        <f>SUM(I42:I43)</f>
        <v>720000</v>
      </c>
      <c r="J41" s="606"/>
      <c r="K41" s="37"/>
      <c r="L41" s="37"/>
      <c r="M41" s="173"/>
      <c r="N41" s="168"/>
      <c r="O41" s="168"/>
      <c r="P41" s="168"/>
      <c r="Q41" s="168"/>
      <c r="R41" s="168"/>
      <c r="S41" s="168"/>
      <c r="T41" s="168"/>
      <c r="U41" s="168"/>
      <c r="V41" s="168"/>
      <c r="W41" s="168"/>
    </row>
    <row r="42" spans="1:23" s="169" customFormat="1" ht="17.25" customHeight="1">
      <c r="A42" s="217"/>
      <c r="B42" s="218" t="s">
        <v>148</v>
      </c>
      <c r="C42" s="608">
        <v>7</v>
      </c>
      <c r="D42" s="609">
        <v>19000</v>
      </c>
      <c r="E42" s="609">
        <f>SUM(F42:I42)</f>
        <v>811000</v>
      </c>
      <c r="F42" s="609">
        <f>+C42*D42</f>
        <v>133000</v>
      </c>
      <c r="G42" s="623">
        <f>568000-15000</f>
        <v>553000</v>
      </c>
      <c r="H42" s="623">
        <v>25000</v>
      </c>
      <c r="I42" s="609">
        <v>100000</v>
      </c>
      <c r="J42" s="606"/>
      <c r="K42" s="37"/>
      <c r="L42" s="37"/>
      <c r="M42" s="173"/>
      <c r="N42" s="168"/>
      <c r="O42" s="168"/>
      <c r="P42" s="168"/>
      <c r="Q42" s="168"/>
      <c r="R42" s="168"/>
      <c r="S42" s="168"/>
      <c r="T42" s="168"/>
      <c r="U42" s="168"/>
      <c r="V42" s="168"/>
      <c r="W42" s="168"/>
    </row>
    <row r="43" spans="1:23" s="169" customFormat="1" ht="17.25" customHeight="1">
      <c r="A43" s="217"/>
      <c r="B43" s="226" t="s">
        <v>471</v>
      </c>
      <c r="C43" s="608"/>
      <c r="D43" s="609"/>
      <c r="E43" s="609">
        <f>SUM(F43:I43)</f>
        <v>620000</v>
      </c>
      <c r="F43" s="609"/>
      <c r="G43" s="623"/>
      <c r="H43" s="623"/>
      <c r="I43" s="609">
        <v>620000</v>
      </c>
      <c r="J43" s="606"/>
      <c r="K43" s="37"/>
      <c r="L43" s="37"/>
      <c r="M43" s="173"/>
      <c r="N43" s="168"/>
      <c r="O43" s="168"/>
      <c r="P43" s="168"/>
      <c r="Q43" s="168"/>
      <c r="R43" s="168"/>
      <c r="S43" s="168"/>
      <c r="T43" s="168"/>
      <c r="U43" s="168"/>
      <c r="V43" s="168"/>
      <c r="W43" s="168"/>
    </row>
    <row r="44" spans="1:23" s="169" customFormat="1" ht="17.25" customHeight="1">
      <c r="A44" s="217">
        <v>8</v>
      </c>
      <c r="B44" s="226" t="s">
        <v>163</v>
      </c>
      <c r="C44" s="608">
        <v>6</v>
      </c>
      <c r="D44" s="609">
        <v>19000</v>
      </c>
      <c r="E44" s="609">
        <f t="shared" si="3"/>
        <v>681000</v>
      </c>
      <c r="F44" s="609">
        <f t="shared" si="4"/>
        <v>114000</v>
      </c>
      <c r="G44" s="623">
        <f>502000-15000</f>
        <v>487000</v>
      </c>
      <c r="H44" s="623">
        <v>20000</v>
      </c>
      <c r="I44" s="609">
        <v>60000</v>
      </c>
      <c r="J44" s="606"/>
      <c r="K44" s="37"/>
      <c r="L44" s="37"/>
      <c r="M44" s="173"/>
      <c r="N44" s="168"/>
      <c r="O44" s="168"/>
      <c r="P44" s="168"/>
      <c r="Q44" s="168"/>
      <c r="R44" s="168"/>
      <c r="S44" s="168"/>
      <c r="T44" s="168"/>
      <c r="U44" s="168"/>
      <c r="V44" s="168"/>
      <c r="W44" s="168"/>
    </row>
    <row r="45" spans="1:23" s="169" customFormat="1" ht="17.25" customHeight="1">
      <c r="A45" s="217">
        <v>9</v>
      </c>
      <c r="B45" s="226" t="s">
        <v>164</v>
      </c>
      <c r="C45" s="608">
        <v>5</v>
      </c>
      <c r="D45" s="609">
        <v>19000</v>
      </c>
      <c r="E45" s="609">
        <f t="shared" si="3"/>
        <v>568000</v>
      </c>
      <c r="F45" s="609">
        <f t="shared" si="4"/>
        <v>95000</v>
      </c>
      <c r="G45" s="623">
        <f>418000-10000</f>
        <v>408000</v>
      </c>
      <c r="H45" s="623">
        <v>20000</v>
      </c>
      <c r="I45" s="609">
        <v>45000</v>
      </c>
      <c r="J45" s="606"/>
      <c r="K45" s="37"/>
      <c r="L45" s="37"/>
      <c r="M45" s="173"/>
      <c r="N45" s="168"/>
      <c r="O45" s="168"/>
      <c r="P45" s="168"/>
      <c r="Q45" s="168"/>
      <c r="R45" s="168"/>
      <c r="S45" s="168"/>
      <c r="T45" s="168"/>
      <c r="U45" s="168"/>
      <c r="V45" s="168"/>
      <c r="W45" s="168"/>
    </row>
    <row r="46" spans="1:23" s="169" customFormat="1" ht="17.25" customHeight="1">
      <c r="A46" s="217">
        <v>10</v>
      </c>
      <c r="B46" s="226" t="s">
        <v>152</v>
      </c>
      <c r="C46" s="608">
        <v>4</v>
      </c>
      <c r="D46" s="609">
        <v>19000</v>
      </c>
      <c r="E46" s="609">
        <f t="shared" si="3"/>
        <v>436000</v>
      </c>
      <c r="F46" s="609">
        <f t="shared" si="4"/>
        <v>76000</v>
      </c>
      <c r="G46" s="623">
        <f>310000-10000</f>
        <v>300000</v>
      </c>
      <c r="H46" s="623">
        <v>15000</v>
      </c>
      <c r="I46" s="609">
        <v>45000</v>
      </c>
      <c r="J46" s="606"/>
      <c r="K46" s="37"/>
      <c r="L46" s="37"/>
      <c r="M46" s="173"/>
      <c r="N46" s="168"/>
      <c r="O46" s="168"/>
      <c r="P46" s="168"/>
      <c r="Q46" s="168"/>
      <c r="R46" s="168"/>
      <c r="S46" s="168"/>
      <c r="T46" s="168"/>
      <c r="U46" s="168"/>
      <c r="V46" s="168"/>
      <c r="W46" s="168"/>
    </row>
    <row r="47" spans="1:23" s="169" customFormat="1" ht="17.25" customHeight="1">
      <c r="A47" s="217">
        <v>11</v>
      </c>
      <c r="B47" s="226" t="s">
        <v>162</v>
      </c>
      <c r="C47" s="608"/>
      <c r="D47" s="609">
        <f aca="true" t="shared" si="5" ref="D47:I47">SUM(D48:D49)</f>
        <v>19000</v>
      </c>
      <c r="E47" s="609">
        <f t="shared" si="5"/>
        <v>895360</v>
      </c>
      <c r="F47" s="609">
        <f t="shared" si="5"/>
        <v>133000</v>
      </c>
      <c r="G47" s="609">
        <f t="shared" si="5"/>
        <v>645360</v>
      </c>
      <c r="H47" s="609">
        <f t="shared" si="5"/>
        <v>27000</v>
      </c>
      <c r="I47" s="609">
        <f t="shared" si="5"/>
        <v>90000</v>
      </c>
      <c r="J47" s="606"/>
      <c r="K47" s="37"/>
      <c r="L47" s="37"/>
      <c r="M47" s="173"/>
      <c r="N47" s="168"/>
      <c r="O47" s="168"/>
      <c r="P47" s="168"/>
      <c r="Q47" s="168"/>
      <c r="R47" s="168"/>
      <c r="S47" s="168"/>
      <c r="T47" s="168"/>
      <c r="U47" s="168"/>
      <c r="V47" s="168"/>
      <c r="W47" s="168"/>
    </row>
    <row r="48" spans="1:23" s="169" customFormat="1" ht="17.25" customHeight="1">
      <c r="A48" s="217"/>
      <c r="B48" s="226" t="s">
        <v>472</v>
      </c>
      <c r="C48" s="608">
        <v>7</v>
      </c>
      <c r="D48" s="609">
        <v>19000</v>
      </c>
      <c r="E48" s="609">
        <f>SUM(F48:I48)</f>
        <v>835000</v>
      </c>
      <c r="F48" s="609">
        <f>+C48*D48</f>
        <v>133000</v>
      </c>
      <c r="G48" s="623">
        <f>635000-20000</f>
        <v>615000</v>
      </c>
      <c r="H48" s="623">
        <v>27000</v>
      </c>
      <c r="I48" s="609">
        <v>60000</v>
      </c>
      <c r="J48" s="606"/>
      <c r="K48" s="37"/>
      <c r="L48" s="37"/>
      <c r="M48" s="173"/>
      <c r="N48" s="168"/>
      <c r="O48" s="168"/>
      <c r="P48" s="168"/>
      <c r="Q48" s="168"/>
      <c r="R48" s="168"/>
      <c r="S48" s="168"/>
      <c r="T48" s="168"/>
      <c r="U48" s="168"/>
      <c r="V48" s="168"/>
      <c r="W48" s="168"/>
    </row>
    <row r="49" spans="1:23" s="169" customFormat="1" ht="17.25" customHeight="1">
      <c r="A49" s="217"/>
      <c r="B49" s="226" t="s">
        <v>473</v>
      </c>
      <c r="C49" s="608"/>
      <c r="D49" s="609"/>
      <c r="E49" s="609">
        <f>SUM(F49:I49)</f>
        <v>60360</v>
      </c>
      <c r="F49" s="609"/>
      <c r="G49" s="609">
        <v>30360</v>
      </c>
      <c r="H49" s="609"/>
      <c r="I49" s="609">
        <v>30000</v>
      </c>
      <c r="J49" s="606"/>
      <c r="K49" s="37"/>
      <c r="L49" s="37"/>
      <c r="M49" s="173"/>
      <c r="N49" s="168"/>
      <c r="O49" s="168"/>
      <c r="P49" s="168"/>
      <c r="Q49" s="168"/>
      <c r="R49" s="168"/>
      <c r="S49" s="168"/>
      <c r="T49" s="168"/>
      <c r="U49" s="168"/>
      <c r="V49" s="168"/>
      <c r="W49" s="168"/>
    </row>
    <row r="50" spans="1:23" s="169" customFormat="1" ht="17.25" customHeight="1">
      <c r="A50" s="217">
        <v>12</v>
      </c>
      <c r="B50" s="226" t="s">
        <v>227</v>
      </c>
      <c r="C50" s="608">
        <v>5</v>
      </c>
      <c r="D50" s="609">
        <v>19000</v>
      </c>
      <c r="E50" s="609">
        <f t="shared" si="3"/>
        <v>452000</v>
      </c>
      <c r="F50" s="609">
        <f t="shared" si="4"/>
        <v>95000</v>
      </c>
      <c r="G50" s="623">
        <f>309000-10000</f>
        <v>299000</v>
      </c>
      <c r="H50" s="623">
        <v>13000</v>
      </c>
      <c r="I50" s="609">
        <v>45000</v>
      </c>
      <c r="J50" s="606"/>
      <c r="K50" s="37"/>
      <c r="L50" s="37"/>
      <c r="M50" s="173"/>
      <c r="N50" s="168"/>
      <c r="O50" s="168"/>
      <c r="P50" s="168"/>
      <c r="Q50" s="168"/>
      <c r="R50" s="168"/>
      <c r="S50" s="168"/>
      <c r="T50" s="168"/>
      <c r="U50" s="168"/>
      <c r="V50" s="168"/>
      <c r="W50" s="168"/>
    </row>
    <row r="51" spans="1:23" s="169" customFormat="1" ht="19.5" customHeight="1">
      <c r="A51" s="217">
        <v>13</v>
      </c>
      <c r="B51" s="226" t="s">
        <v>160</v>
      </c>
      <c r="C51" s="608"/>
      <c r="D51" s="609"/>
      <c r="E51" s="609">
        <f>SUM(F51:I51)</f>
        <v>90000</v>
      </c>
      <c r="F51" s="609"/>
      <c r="G51" s="623"/>
      <c r="H51" s="623"/>
      <c r="I51" s="609">
        <v>90000</v>
      </c>
      <c r="J51" s="606"/>
      <c r="K51" s="37"/>
      <c r="L51" s="37"/>
      <c r="M51" s="173"/>
      <c r="N51" s="168"/>
      <c r="O51" s="168"/>
      <c r="P51" s="168"/>
      <c r="Q51" s="168"/>
      <c r="R51" s="168"/>
      <c r="S51" s="168"/>
      <c r="T51" s="168"/>
      <c r="U51" s="168"/>
      <c r="V51" s="168"/>
      <c r="W51" s="168"/>
    </row>
    <row r="52" spans="1:23" s="169" customFormat="1" ht="19.5" customHeight="1">
      <c r="A52" s="217">
        <v>14</v>
      </c>
      <c r="B52" s="226" t="s">
        <v>446</v>
      </c>
      <c r="C52" s="608"/>
      <c r="D52" s="609"/>
      <c r="E52" s="609">
        <f>SUM(F52:I52)</f>
        <v>150000</v>
      </c>
      <c r="F52" s="609"/>
      <c r="G52" s="623"/>
      <c r="H52" s="623"/>
      <c r="I52" s="609">
        <v>150000</v>
      </c>
      <c r="J52" s="606"/>
      <c r="K52" s="37"/>
      <c r="L52" s="37"/>
      <c r="M52" s="173"/>
      <c r="N52" s="168"/>
      <c r="O52" s="168"/>
      <c r="P52" s="168"/>
      <c r="Q52" s="168"/>
      <c r="R52" s="168"/>
      <c r="S52" s="168"/>
      <c r="T52" s="168"/>
      <c r="U52" s="168"/>
      <c r="V52" s="168"/>
      <c r="W52" s="168"/>
    </row>
    <row r="53" spans="1:23" s="170" customFormat="1" ht="23.25" customHeight="1">
      <c r="A53" s="213" t="s">
        <v>101</v>
      </c>
      <c r="B53" s="624" t="s">
        <v>266</v>
      </c>
      <c r="C53" s="604">
        <f>SUM(C54:C81)</f>
        <v>28</v>
      </c>
      <c r="D53" s="605"/>
      <c r="E53" s="605">
        <f>E54+E60+E64+E68+E72+E76+E79+E82+E83</f>
        <v>4080000</v>
      </c>
      <c r="F53" s="605">
        <f>F54+F60+F64+F68+F72+F76+F79+F82+F83</f>
        <v>568000</v>
      </c>
      <c r="G53" s="605">
        <f>G54+G60+G64+G68+G72+G76+G79+G82+G83</f>
        <v>2441010</v>
      </c>
      <c r="H53" s="605">
        <f>H54+H60+H64+H68+H72+H76+H79+H82+H83</f>
        <v>150000</v>
      </c>
      <c r="I53" s="605">
        <f>I54+I60+I64+I68+I72+I76+I79+I82+I83</f>
        <v>920990</v>
      </c>
      <c r="J53" s="606"/>
      <c r="K53" s="37"/>
      <c r="L53" s="37"/>
      <c r="M53" s="173"/>
      <c r="N53" s="168"/>
      <c r="O53" s="168"/>
      <c r="P53" s="168"/>
      <c r="Q53" s="168"/>
      <c r="R53" s="168"/>
      <c r="S53" s="168"/>
      <c r="T53" s="168"/>
      <c r="U53" s="168"/>
      <c r="V53" s="168"/>
      <c r="W53" s="168"/>
    </row>
    <row r="54" spans="1:23" s="169" customFormat="1" ht="21" customHeight="1">
      <c r="A54" s="217">
        <v>1</v>
      </c>
      <c r="B54" s="226" t="s">
        <v>165</v>
      </c>
      <c r="C54" s="608"/>
      <c r="D54" s="609"/>
      <c r="E54" s="609">
        <f>SUM(E55:E59)</f>
        <v>850240</v>
      </c>
      <c r="F54" s="609">
        <f>SUM(F55:F59)</f>
        <v>105000</v>
      </c>
      <c r="G54" s="609">
        <f>SUM(G55:G59)</f>
        <v>496810</v>
      </c>
      <c r="H54" s="609">
        <f>SUM(H55:H59)</f>
        <v>32000</v>
      </c>
      <c r="I54" s="609">
        <f>SUM(I55:I59)</f>
        <v>216430</v>
      </c>
      <c r="J54" s="606"/>
      <c r="K54" s="37"/>
      <c r="L54" s="37"/>
      <c r="M54" s="173"/>
      <c r="N54" s="168"/>
      <c r="O54" s="168"/>
      <c r="P54" s="168"/>
      <c r="Q54" s="168"/>
      <c r="R54" s="168"/>
      <c r="S54" s="168"/>
      <c r="T54" s="168"/>
      <c r="U54" s="168"/>
      <c r="V54" s="168"/>
      <c r="W54" s="168"/>
    </row>
    <row r="55" spans="1:23" s="169" customFormat="1" ht="17.25" customHeight="1">
      <c r="A55" s="217"/>
      <c r="B55" s="218" t="s">
        <v>148</v>
      </c>
      <c r="C55" s="608">
        <v>5</v>
      </c>
      <c r="D55" s="609">
        <v>21000</v>
      </c>
      <c r="E55" s="609">
        <f>SUM(F55:I55)</f>
        <v>633810</v>
      </c>
      <c r="F55" s="609">
        <f>C55*D55</f>
        <v>105000</v>
      </c>
      <c r="G55" s="609">
        <f>527000-H55+1810</f>
        <v>496810</v>
      </c>
      <c r="H55" s="609">
        <v>32000</v>
      </c>
      <c r="I55" s="609"/>
      <c r="J55" s="606"/>
      <c r="K55" s="37"/>
      <c r="L55" s="37"/>
      <c r="M55" s="173"/>
      <c r="N55" s="168"/>
      <c r="O55" s="168"/>
      <c r="P55" s="168"/>
      <c r="Q55" s="168"/>
      <c r="R55" s="168"/>
      <c r="S55" s="168"/>
      <c r="T55" s="168"/>
      <c r="U55" s="168"/>
      <c r="V55" s="168"/>
      <c r="W55" s="168"/>
    </row>
    <row r="56" spans="1:23" s="169" customFormat="1" ht="17.25" customHeight="1">
      <c r="A56" s="217"/>
      <c r="B56" s="226" t="s">
        <v>560</v>
      </c>
      <c r="C56" s="608"/>
      <c r="D56" s="609"/>
      <c r="E56" s="609">
        <f>SUM(F56:I56)</f>
        <v>50000</v>
      </c>
      <c r="F56" s="609"/>
      <c r="G56" s="609"/>
      <c r="H56" s="609"/>
      <c r="I56" s="609">
        <v>50000</v>
      </c>
      <c r="J56" s="606"/>
      <c r="K56" s="37"/>
      <c r="L56" s="37"/>
      <c r="M56" s="173"/>
      <c r="N56" s="168"/>
      <c r="O56" s="168"/>
      <c r="P56" s="168"/>
      <c r="Q56" s="168"/>
      <c r="R56" s="168"/>
      <c r="S56" s="168"/>
      <c r="T56" s="168"/>
      <c r="U56" s="168"/>
      <c r="V56" s="168"/>
      <c r="W56" s="168"/>
    </row>
    <row r="57" spans="1:23" s="169" customFormat="1" ht="17.25" customHeight="1">
      <c r="A57" s="217"/>
      <c r="B57" s="226" t="s">
        <v>267</v>
      </c>
      <c r="C57" s="608"/>
      <c r="D57" s="609"/>
      <c r="E57" s="609">
        <f>SUM(F57:I57)</f>
        <v>66430</v>
      </c>
      <c r="F57" s="609"/>
      <c r="G57" s="609"/>
      <c r="H57" s="609"/>
      <c r="I57" s="609">
        <v>66430</v>
      </c>
      <c r="J57" s="606"/>
      <c r="K57" s="37"/>
      <c r="L57" s="37"/>
      <c r="M57" s="173"/>
      <c r="N57" s="168"/>
      <c r="O57" s="168"/>
      <c r="P57" s="168"/>
      <c r="Q57" s="168"/>
      <c r="R57" s="168"/>
      <c r="S57" s="168"/>
      <c r="T57" s="168"/>
      <c r="U57" s="168"/>
      <c r="V57" s="168"/>
      <c r="W57" s="168"/>
    </row>
    <row r="58" spans="1:23" s="169" customFormat="1" ht="17.25" customHeight="1">
      <c r="A58" s="217"/>
      <c r="B58" s="218" t="s">
        <v>135</v>
      </c>
      <c r="C58" s="608"/>
      <c r="D58" s="609"/>
      <c r="E58" s="609">
        <f>SUM(F58:I58)</f>
        <v>50000</v>
      </c>
      <c r="F58" s="609"/>
      <c r="G58" s="609"/>
      <c r="H58" s="609"/>
      <c r="I58" s="609">
        <v>50000</v>
      </c>
      <c r="J58" s="606"/>
      <c r="K58" s="37"/>
      <c r="L58" s="37"/>
      <c r="M58" s="173"/>
      <c r="N58" s="168"/>
      <c r="O58" s="168"/>
      <c r="P58" s="168"/>
      <c r="Q58" s="168"/>
      <c r="R58" s="168"/>
      <c r="S58" s="168"/>
      <c r="T58" s="168"/>
      <c r="U58" s="168"/>
      <c r="V58" s="168"/>
      <c r="W58" s="168"/>
    </row>
    <row r="59" spans="1:23" s="169" customFormat="1" ht="49.5" customHeight="1">
      <c r="A59" s="217"/>
      <c r="B59" s="226" t="s">
        <v>474</v>
      </c>
      <c r="C59" s="608"/>
      <c r="D59" s="609"/>
      <c r="E59" s="609">
        <f>SUM(F59:I59)</f>
        <v>50000</v>
      </c>
      <c r="F59" s="609">
        <v>0</v>
      </c>
      <c r="G59" s="609">
        <v>0</v>
      </c>
      <c r="H59" s="609">
        <v>0</v>
      </c>
      <c r="I59" s="609">
        <f>50000</f>
        <v>50000</v>
      </c>
      <c r="J59" s="606"/>
      <c r="K59" s="37"/>
      <c r="L59" s="37"/>
      <c r="M59" s="173"/>
      <c r="N59" s="168"/>
      <c r="O59" s="168"/>
      <c r="P59" s="168"/>
      <c r="Q59" s="168"/>
      <c r="R59" s="168"/>
      <c r="S59" s="168"/>
      <c r="T59" s="168"/>
      <c r="U59" s="168"/>
      <c r="V59" s="168"/>
      <c r="W59" s="168"/>
    </row>
    <row r="60" spans="1:23" s="169" customFormat="1" ht="21" customHeight="1">
      <c r="A60" s="217">
        <v>2</v>
      </c>
      <c r="B60" s="226" t="s">
        <v>166</v>
      </c>
      <c r="C60" s="608"/>
      <c r="D60" s="609"/>
      <c r="E60" s="609">
        <f>SUM(E61:E63)</f>
        <v>719160</v>
      </c>
      <c r="F60" s="609">
        <f>SUM(F61:F63)</f>
        <v>105000</v>
      </c>
      <c r="G60" s="609">
        <f>SUM(G61:G63)</f>
        <v>401000</v>
      </c>
      <c r="H60" s="609">
        <f>SUM(H61:H63)</f>
        <v>28000</v>
      </c>
      <c r="I60" s="609">
        <f>SUM(I61:I63)</f>
        <v>185160</v>
      </c>
      <c r="J60" s="606"/>
      <c r="K60" s="37"/>
      <c r="L60" s="37"/>
      <c r="M60" s="173"/>
      <c r="N60" s="168"/>
      <c r="O60" s="168"/>
      <c r="P60" s="168"/>
      <c r="Q60" s="168"/>
      <c r="R60" s="168"/>
      <c r="S60" s="168"/>
      <c r="T60" s="168"/>
      <c r="U60" s="168"/>
      <c r="V60" s="168"/>
      <c r="W60" s="168"/>
    </row>
    <row r="61" spans="1:23" s="169" customFormat="1" ht="17.25" customHeight="1">
      <c r="A61" s="217"/>
      <c r="B61" s="218" t="s">
        <v>148</v>
      </c>
      <c r="C61" s="608">
        <v>5</v>
      </c>
      <c r="D61" s="609">
        <v>21000</v>
      </c>
      <c r="E61" s="609">
        <f>SUM(F61:I61)</f>
        <v>534000</v>
      </c>
      <c r="F61" s="609">
        <f>C61*D61</f>
        <v>105000</v>
      </c>
      <c r="G61" s="609">
        <f>429000-H61</f>
        <v>401000</v>
      </c>
      <c r="H61" s="609">
        <v>28000</v>
      </c>
      <c r="I61" s="609"/>
      <c r="J61" s="606"/>
      <c r="K61" s="37"/>
      <c r="L61" s="37"/>
      <c r="M61" s="173"/>
      <c r="N61" s="168"/>
      <c r="O61" s="168"/>
      <c r="P61" s="168"/>
      <c r="Q61" s="168"/>
      <c r="R61" s="168"/>
      <c r="S61" s="168"/>
      <c r="T61" s="168"/>
      <c r="U61" s="168"/>
      <c r="V61" s="168"/>
      <c r="W61" s="168"/>
    </row>
    <row r="62" spans="1:23" s="169" customFormat="1" ht="17.25" customHeight="1">
      <c r="A62" s="217"/>
      <c r="B62" s="226" t="s">
        <v>267</v>
      </c>
      <c r="C62" s="608"/>
      <c r="D62" s="609"/>
      <c r="E62" s="609">
        <f>SUM(F62:I62)</f>
        <v>18360</v>
      </c>
      <c r="F62" s="609"/>
      <c r="G62" s="609"/>
      <c r="H62" s="609"/>
      <c r="I62" s="609">
        <v>18360</v>
      </c>
      <c r="J62" s="606"/>
      <c r="K62" s="37"/>
      <c r="L62" s="37"/>
      <c r="M62" s="173"/>
      <c r="N62" s="168"/>
      <c r="O62" s="168"/>
      <c r="P62" s="168"/>
      <c r="Q62" s="168"/>
      <c r="R62" s="168"/>
      <c r="S62" s="168"/>
      <c r="T62" s="168"/>
      <c r="U62" s="168"/>
      <c r="V62" s="168"/>
      <c r="W62" s="168"/>
    </row>
    <row r="63" spans="1:23" s="169" customFormat="1" ht="85.5" customHeight="1">
      <c r="A63" s="217"/>
      <c r="B63" s="226" t="s">
        <v>84</v>
      </c>
      <c r="C63" s="608"/>
      <c r="D63" s="609"/>
      <c r="E63" s="609">
        <f>SUM(F63:I63)</f>
        <v>166800</v>
      </c>
      <c r="F63" s="609"/>
      <c r="G63" s="609"/>
      <c r="H63" s="609"/>
      <c r="I63" s="609">
        <v>166800</v>
      </c>
      <c r="J63" s="606"/>
      <c r="K63" s="37"/>
      <c r="L63" s="37"/>
      <c r="M63" s="173"/>
      <c r="N63" s="168"/>
      <c r="O63" s="168"/>
      <c r="P63" s="168"/>
      <c r="Q63" s="168"/>
      <c r="R63" s="168"/>
      <c r="S63" s="168"/>
      <c r="T63" s="168"/>
      <c r="U63" s="168"/>
      <c r="V63" s="168"/>
      <c r="W63" s="168"/>
    </row>
    <row r="64" spans="1:23" s="169" customFormat="1" ht="21" customHeight="1">
      <c r="A64" s="217">
        <v>3</v>
      </c>
      <c r="B64" s="625" t="s">
        <v>154</v>
      </c>
      <c r="C64" s="608"/>
      <c r="D64" s="608"/>
      <c r="E64" s="609">
        <f>SUM(E65:E67)</f>
        <v>734000</v>
      </c>
      <c r="F64" s="609">
        <f>SUM(F65:F67)</f>
        <v>105000</v>
      </c>
      <c r="G64" s="609">
        <f>SUM(G65:G67)</f>
        <v>509000</v>
      </c>
      <c r="H64" s="609">
        <f>SUM(H65:H67)</f>
        <v>25000</v>
      </c>
      <c r="I64" s="609">
        <f>SUM(I65:I67)</f>
        <v>95000</v>
      </c>
      <c r="J64" s="606"/>
      <c r="K64" s="37"/>
      <c r="L64" s="37"/>
      <c r="M64" s="173"/>
      <c r="N64" s="168"/>
      <c r="O64" s="168"/>
      <c r="P64" s="168"/>
      <c r="Q64" s="168"/>
      <c r="R64" s="168"/>
      <c r="S64" s="168"/>
      <c r="T64" s="168"/>
      <c r="U64" s="168"/>
      <c r="V64" s="168"/>
      <c r="W64" s="168"/>
    </row>
    <row r="65" spans="1:23" s="169" customFormat="1" ht="17.25" customHeight="1">
      <c r="A65" s="217"/>
      <c r="B65" s="218" t="s">
        <v>148</v>
      </c>
      <c r="C65" s="608">
        <v>5</v>
      </c>
      <c r="D65" s="609">
        <v>21000</v>
      </c>
      <c r="E65" s="609">
        <f>SUM(F65:I65)</f>
        <v>639000</v>
      </c>
      <c r="F65" s="609">
        <f>C65*D65</f>
        <v>105000</v>
      </c>
      <c r="G65" s="609">
        <f>534000-H65</f>
        <v>509000</v>
      </c>
      <c r="H65" s="609">
        <v>25000</v>
      </c>
      <c r="I65" s="609"/>
      <c r="J65" s="606"/>
      <c r="K65" s="37"/>
      <c r="L65" s="37"/>
      <c r="M65" s="173"/>
      <c r="N65" s="168"/>
      <c r="O65" s="168"/>
      <c r="P65" s="168"/>
      <c r="Q65" s="168"/>
      <c r="R65" s="168"/>
      <c r="S65" s="168"/>
      <c r="T65" s="168"/>
      <c r="U65" s="168"/>
      <c r="V65" s="168"/>
      <c r="W65" s="168"/>
    </row>
    <row r="66" spans="1:23" s="169" customFormat="1" ht="17.25" customHeight="1">
      <c r="A66" s="217"/>
      <c r="B66" s="226" t="s">
        <v>267</v>
      </c>
      <c r="C66" s="608"/>
      <c r="D66" s="609"/>
      <c r="E66" s="609">
        <f>SUM(F66:I66)</f>
        <v>17500</v>
      </c>
      <c r="F66" s="609"/>
      <c r="G66" s="609"/>
      <c r="H66" s="609"/>
      <c r="I66" s="609">
        <v>17500</v>
      </c>
      <c r="J66" s="606"/>
      <c r="K66" s="37"/>
      <c r="L66" s="37"/>
      <c r="M66" s="173"/>
      <c r="N66" s="168"/>
      <c r="O66" s="168"/>
      <c r="P66" s="168"/>
      <c r="Q66" s="168"/>
      <c r="R66" s="168"/>
      <c r="S66" s="168"/>
      <c r="T66" s="168"/>
      <c r="U66" s="168"/>
      <c r="V66" s="168"/>
      <c r="W66" s="168"/>
    </row>
    <row r="67" spans="1:23" s="169" customFormat="1" ht="59.25" customHeight="1">
      <c r="A67" s="217"/>
      <c r="B67" s="226" t="s">
        <v>475</v>
      </c>
      <c r="C67" s="608"/>
      <c r="D67" s="609"/>
      <c r="E67" s="609">
        <f>SUM(F67:I67)</f>
        <v>77500</v>
      </c>
      <c r="F67" s="609"/>
      <c r="G67" s="609"/>
      <c r="H67" s="609"/>
      <c r="I67" s="609">
        <v>77500</v>
      </c>
      <c r="J67" s="606"/>
      <c r="K67" s="37"/>
      <c r="L67" s="37"/>
      <c r="M67" s="173"/>
      <c r="N67" s="168"/>
      <c r="O67" s="168"/>
      <c r="P67" s="168"/>
      <c r="Q67" s="168"/>
      <c r="R67" s="168"/>
      <c r="S67" s="168"/>
      <c r="T67" s="168"/>
      <c r="U67" s="168"/>
      <c r="V67" s="168"/>
      <c r="W67" s="168"/>
    </row>
    <row r="68" spans="1:23" s="169" customFormat="1" ht="21" customHeight="1">
      <c r="A68" s="217">
        <v>4</v>
      </c>
      <c r="B68" s="226" t="s">
        <v>153</v>
      </c>
      <c r="C68" s="608"/>
      <c r="D68" s="608"/>
      <c r="E68" s="609">
        <f>SUM(E69:E71)</f>
        <v>469450</v>
      </c>
      <c r="F68" s="609">
        <f>SUM(F69:F71)</f>
        <v>63000</v>
      </c>
      <c r="G68" s="609">
        <f>SUM(G69:G71)</f>
        <v>303000</v>
      </c>
      <c r="H68" s="609">
        <f>SUM(H69:H71)</f>
        <v>19000</v>
      </c>
      <c r="I68" s="609">
        <f>SUM(I69:I71)</f>
        <v>84450</v>
      </c>
      <c r="J68" s="606"/>
      <c r="K68" s="37"/>
      <c r="L68" s="37"/>
      <c r="M68" s="173"/>
      <c r="N68" s="168"/>
      <c r="O68" s="168"/>
      <c r="P68" s="168"/>
      <c r="Q68" s="168"/>
      <c r="R68" s="168"/>
      <c r="S68" s="168"/>
      <c r="T68" s="168"/>
      <c r="U68" s="168"/>
      <c r="V68" s="168"/>
      <c r="W68" s="168"/>
    </row>
    <row r="69" spans="1:23" s="169" customFormat="1" ht="17.25" customHeight="1">
      <c r="A69" s="217"/>
      <c r="B69" s="218" t="s">
        <v>148</v>
      </c>
      <c r="C69" s="608">
        <v>3</v>
      </c>
      <c r="D69" s="609">
        <v>21000</v>
      </c>
      <c r="E69" s="609">
        <f>SUM(F69:I69)</f>
        <v>385000</v>
      </c>
      <c r="F69" s="609">
        <f>C69*D69</f>
        <v>63000</v>
      </c>
      <c r="G69" s="609">
        <f>322000-H69</f>
        <v>303000</v>
      </c>
      <c r="H69" s="609">
        <v>19000</v>
      </c>
      <c r="I69" s="609"/>
      <c r="J69" s="606"/>
      <c r="K69" s="37"/>
      <c r="L69" s="37"/>
      <c r="M69" s="173"/>
      <c r="N69" s="168"/>
      <c r="O69" s="168"/>
      <c r="P69" s="168"/>
      <c r="Q69" s="168"/>
      <c r="R69" s="168"/>
      <c r="S69" s="168"/>
      <c r="T69" s="168"/>
      <c r="U69" s="168"/>
      <c r="V69" s="168"/>
      <c r="W69" s="168"/>
    </row>
    <row r="70" spans="1:23" s="169" customFormat="1" ht="17.25" customHeight="1">
      <c r="A70" s="217"/>
      <c r="B70" s="226" t="s">
        <v>267</v>
      </c>
      <c r="C70" s="608"/>
      <c r="D70" s="609"/>
      <c r="E70" s="609">
        <f>SUM(F70:I70)</f>
        <v>21950</v>
      </c>
      <c r="F70" s="609"/>
      <c r="G70" s="609"/>
      <c r="H70" s="609"/>
      <c r="I70" s="609">
        <v>21950</v>
      </c>
      <c r="J70" s="606"/>
      <c r="K70" s="37"/>
      <c r="L70" s="37"/>
      <c r="M70" s="173"/>
      <c r="N70" s="168"/>
      <c r="O70" s="168"/>
      <c r="P70" s="168"/>
      <c r="Q70" s="168"/>
      <c r="R70" s="168"/>
      <c r="S70" s="168"/>
      <c r="T70" s="168"/>
      <c r="U70" s="168"/>
      <c r="V70" s="168"/>
      <c r="W70" s="168"/>
    </row>
    <row r="71" spans="1:23" s="169" customFormat="1" ht="67.5" customHeight="1">
      <c r="A71" s="217"/>
      <c r="B71" s="226" t="s">
        <v>85</v>
      </c>
      <c r="C71" s="608"/>
      <c r="D71" s="609"/>
      <c r="E71" s="609">
        <f>SUM(F71:I71)</f>
        <v>62500</v>
      </c>
      <c r="F71" s="609"/>
      <c r="G71" s="609"/>
      <c r="H71" s="609"/>
      <c r="I71" s="609">
        <v>62500</v>
      </c>
      <c r="J71" s="606"/>
      <c r="K71" s="37"/>
      <c r="L71" s="37"/>
      <c r="M71" s="37"/>
      <c r="N71" s="32"/>
      <c r="O71" s="168"/>
      <c r="P71" s="168"/>
      <c r="Q71" s="168"/>
      <c r="R71" s="168"/>
      <c r="S71" s="168"/>
      <c r="T71" s="168"/>
      <c r="U71" s="168"/>
      <c r="V71" s="168"/>
      <c r="W71" s="168"/>
    </row>
    <row r="72" spans="1:23" s="169" customFormat="1" ht="21" customHeight="1">
      <c r="A72" s="217">
        <v>5</v>
      </c>
      <c r="B72" s="226" t="s">
        <v>167</v>
      </c>
      <c r="C72" s="608"/>
      <c r="D72" s="608"/>
      <c r="E72" s="609">
        <f>SUM(E73:E75)</f>
        <v>850950</v>
      </c>
      <c r="F72" s="609">
        <f>SUM(F73:F75)</f>
        <v>105000</v>
      </c>
      <c r="G72" s="609">
        <f>SUM(G73:G75)</f>
        <v>556000</v>
      </c>
      <c r="H72" s="609">
        <f>SUM(H73:H75)</f>
        <v>28000</v>
      </c>
      <c r="I72" s="609">
        <f>SUM(I73:I75)</f>
        <v>161950</v>
      </c>
      <c r="J72" s="606"/>
      <c r="K72" s="37"/>
      <c r="L72" s="37"/>
      <c r="M72" s="37"/>
      <c r="N72" s="32"/>
      <c r="O72" s="168"/>
      <c r="P72" s="168"/>
      <c r="Q72" s="168"/>
      <c r="R72" s="168"/>
      <c r="S72" s="168"/>
      <c r="T72" s="168"/>
      <c r="U72" s="168"/>
      <c r="V72" s="168"/>
      <c r="W72" s="168"/>
    </row>
    <row r="73" spans="1:23" s="169" customFormat="1" ht="17.25" customHeight="1">
      <c r="A73" s="217"/>
      <c r="B73" s="218" t="s">
        <v>148</v>
      </c>
      <c r="C73" s="608">
        <v>5</v>
      </c>
      <c r="D73" s="609">
        <v>21000</v>
      </c>
      <c r="E73" s="609">
        <f>SUM(F73:I73)</f>
        <v>689000</v>
      </c>
      <c r="F73" s="609">
        <f>C73*D73</f>
        <v>105000</v>
      </c>
      <c r="G73" s="609">
        <f>584000-H73</f>
        <v>556000</v>
      </c>
      <c r="H73" s="609">
        <v>28000</v>
      </c>
      <c r="I73" s="609"/>
      <c r="J73" s="606"/>
      <c r="K73" s="37"/>
      <c r="L73" s="37"/>
      <c r="M73" s="37"/>
      <c r="N73" s="32"/>
      <c r="O73" s="168"/>
      <c r="P73" s="168"/>
      <c r="Q73" s="168"/>
      <c r="R73" s="168"/>
      <c r="S73" s="168"/>
      <c r="T73" s="168"/>
      <c r="U73" s="168"/>
      <c r="V73" s="168"/>
      <c r="W73" s="168"/>
    </row>
    <row r="74" spans="1:23" s="169" customFormat="1" ht="17.25" customHeight="1">
      <c r="A74" s="217"/>
      <c r="B74" s="226" t="s">
        <v>267</v>
      </c>
      <c r="C74" s="608"/>
      <c r="D74" s="609"/>
      <c r="E74" s="609">
        <f>SUM(F74:I74)</f>
        <v>21950</v>
      </c>
      <c r="F74" s="609"/>
      <c r="G74" s="609"/>
      <c r="H74" s="609"/>
      <c r="I74" s="609">
        <v>21950</v>
      </c>
      <c r="J74" s="606"/>
      <c r="K74" s="37"/>
      <c r="L74" s="37"/>
      <c r="M74" s="37"/>
      <c r="N74" s="32"/>
      <c r="O74" s="168"/>
      <c r="P74" s="168"/>
      <c r="Q74" s="168"/>
      <c r="R74" s="168"/>
      <c r="S74" s="168"/>
      <c r="T74" s="168"/>
      <c r="U74" s="168"/>
      <c r="V74" s="168"/>
      <c r="W74" s="168"/>
    </row>
    <row r="75" spans="1:23" s="169" customFormat="1" ht="50.25" customHeight="1">
      <c r="A75" s="217"/>
      <c r="B75" s="226" t="s">
        <v>86</v>
      </c>
      <c r="C75" s="608"/>
      <c r="D75" s="609"/>
      <c r="E75" s="609">
        <f>SUM(F75:I75)</f>
        <v>140000</v>
      </c>
      <c r="F75" s="609"/>
      <c r="G75" s="609"/>
      <c r="H75" s="609"/>
      <c r="I75" s="609">
        <v>140000</v>
      </c>
      <c r="J75" s="606"/>
      <c r="K75" s="37"/>
      <c r="L75" s="37"/>
      <c r="M75" s="37"/>
      <c r="N75" s="32"/>
      <c r="O75" s="168"/>
      <c r="P75" s="168"/>
      <c r="Q75" s="168"/>
      <c r="R75" s="168"/>
      <c r="S75" s="168"/>
      <c r="T75" s="168"/>
      <c r="U75" s="168"/>
      <c r="V75" s="168"/>
      <c r="W75" s="168"/>
    </row>
    <row r="76" spans="1:23" s="169" customFormat="1" ht="17.25" customHeight="1">
      <c r="A76" s="217">
        <v>6</v>
      </c>
      <c r="B76" s="226" t="s">
        <v>268</v>
      </c>
      <c r="C76" s="608"/>
      <c r="D76" s="609"/>
      <c r="E76" s="609">
        <f>SUM(E77:E78)</f>
        <v>163420</v>
      </c>
      <c r="F76" s="609">
        <f>SUM(F77:F78)</f>
        <v>34000</v>
      </c>
      <c r="G76" s="609">
        <f>SUM(G77:G78)</f>
        <v>73420</v>
      </c>
      <c r="H76" s="609">
        <f>SUM(H77:H78)</f>
        <v>8000</v>
      </c>
      <c r="I76" s="609">
        <f>SUM(I77:I78)</f>
        <v>48000</v>
      </c>
      <c r="J76" s="606"/>
      <c r="K76" s="37"/>
      <c r="L76" s="37"/>
      <c r="M76" s="37"/>
      <c r="N76" s="32"/>
      <c r="O76" s="168"/>
      <c r="P76" s="168"/>
      <c r="Q76" s="168"/>
      <c r="R76" s="168"/>
      <c r="S76" s="168"/>
      <c r="T76" s="168"/>
      <c r="U76" s="168"/>
      <c r="V76" s="168"/>
      <c r="W76" s="168"/>
    </row>
    <row r="77" spans="1:23" s="169" customFormat="1" ht="17.25" customHeight="1">
      <c r="A77" s="217"/>
      <c r="B77" s="218" t="s">
        <v>148</v>
      </c>
      <c r="C77" s="608">
        <v>2</v>
      </c>
      <c r="D77" s="609">
        <v>17000</v>
      </c>
      <c r="E77" s="609">
        <f>SUM(F77:I77)</f>
        <v>115420</v>
      </c>
      <c r="F77" s="609">
        <f>C77*D77</f>
        <v>34000</v>
      </c>
      <c r="G77" s="609">
        <f>81420-H77</f>
        <v>73420</v>
      </c>
      <c r="H77" s="609">
        <v>8000</v>
      </c>
      <c r="I77" s="609"/>
      <c r="J77" s="606"/>
      <c r="K77" s="37"/>
      <c r="L77" s="37"/>
      <c r="M77" s="37"/>
      <c r="N77" s="32"/>
      <c r="O77" s="168"/>
      <c r="P77" s="168"/>
      <c r="Q77" s="168"/>
      <c r="R77" s="168"/>
      <c r="S77" s="168"/>
      <c r="T77" s="168"/>
      <c r="U77" s="168"/>
      <c r="V77" s="168"/>
      <c r="W77" s="168"/>
    </row>
    <row r="78" spans="1:23" s="169" customFormat="1" ht="83.25" customHeight="1">
      <c r="A78" s="217"/>
      <c r="B78" s="226" t="s">
        <v>87</v>
      </c>
      <c r="C78" s="608"/>
      <c r="D78" s="609"/>
      <c r="E78" s="609">
        <f>SUM(F78:I78)</f>
        <v>48000</v>
      </c>
      <c r="F78" s="609"/>
      <c r="G78" s="609"/>
      <c r="H78" s="609"/>
      <c r="I78" s="609">
        <v>48000</v>
      </c>
      <c r="J78" s="606"/>
      <c r="K78" s="37"/>
      <c r="L78" s="37"/>
      <c r="M78" s="37"/>
      <c r="N78" s="32"/>
      <c r="O78" s="168"/>
      <c r="P78" s="168"/>
      <c r="Q78" s="168"/>
      <c r="R78" s="168"/>
      <c r="S78" s="168"/>
      <c r="T78" s="168"/>
      <c r="U78" s="168"/>
      <c r="V78" s="168"/>
      <c r="W78" s="168"/>
    </row>
    <row r="79" spans="1:23" s="169" customFormat="1" ht="17.25" customHeight="1">
      <c r="A79" s="217">
        <v>7</v>
      </c>
      <c r="B79" s="226" t="s">
        <v>269</v>
      </c>
      <c r="C79" s="608"/>
      <c r="D79" s="609"/>
      <c r="E79" s="609">
        <f>SUM(E80:E81)</f>
        <v>212780</v>
      </c>
      <c r="F79" s="609">
        <f>SUM(F80:F81)</f>
        <v>51000</v>
      </c>
      <c r="G79" s="609">
        <f>SUM(G80:G81)</f>
        <v>101780</v>
      </c>
      <c r="H79" s="609">
        <f>SUM(H80:H81)</f>
        <v>10000</v>
      </c>
      <c r="I79" s="609">
        <f>SUM(I80:I81)</f>
        <v>50000</v>
      </c>
      <c r="J79" s="606"/>
      <c r="K79" s="37"/>
      <c r="L79" s="37"/>
      <c r="M79" s="37"/>
      <c r="N79" s="32"/>
      <c r="O79" s="168"/>
      <c r="P79" s="168"/>
      <c r="Q79" s="168"/>
      <c r="R79" s="168"/>
      <c r="S79" s="168"/>
      <c r="T79" s="168"/>
      <c r="U79" s="168"/>
      <c r="V79" s="168"/>
      <c r="W79" s="168"/>
    </row>
    <row r="80" spans="1:23" s="169" customFormat="1" ht="17.25" customHeight="1">
      <c r="A80" s="217"/>
      <c r="B80" s="218" t="s">
        <v>148</v>
      </c>
      <c r="C80" s="608">
        <v>3</v>
      </c>
      <c r="D80" s="609">
        <v>17000</v>
      </c>
      <c r="E80" s="609">
        <f>SUM(F80:I80)</f>
        <v>162780</v>
      </c>
      <c r="F80" s="609">
        <f>C80*D80</f>
        <v>51000</v>
      </c>
      <c r="G80" s="609">
        <f>111780-H80</f>
        <v>101780</v>
      </c>
      <c r="H80" s="609">
        <v>10000</v>
      </c>
      <c r="I80" s="609"/>
      <c r="J80" s="606"/>
      <c r="K80" s="37"/>
      <c r="L80" s="37"/>
      <c r="M80" s="37"/>
      <c r="N80" s="32"/>
      <c r="O80" s="168"/>
      <c r="P80" s="168"/>
      <c r="Q80" s="168"/>
      <c r="R80" s="168"/>
      <c r="S80" s="168"/>
      <c r="T80" s="168"/>
      <c r="U80" s="168"/>
      <c r="V80" s="168"/>
      <c r="W80" s="168"/>
    </row>
    <row r="81" spans="1:23" s="169" customFormat="1" ht="33" customHeight="1">
      <c r="A81" s="217"/>
      <c r="B81" s="226" t="s">
        <v>88</v>
      </c>
      <c r="C81" s="608"/>
      <c r="D81" s="609"/>
      <c r="E81" s="609">
        <f>SUM(F81:I81)</f>
        <v>50000</v>
      </c>
      <c r="F81" s="609"/>
      <c r="G81" s="609"/>
      <c r="H81" s="609"/>
      <c r="I81" s="609">
        <v>50000</v>
      </c>
      <c r="J81" s="606"/>
      <c r="K81" s="37"/>
      <c r="L81" s="37"/>
      <c r="M81" s="37"/>
      <c r="N81" s="32"/>
      <c r="O81" s="168"/>
      <c r="P81" s="168"/>
      <c r="Q81" s="168"/>
      <c r="R81" s="168"/>
      <c r="S81" s="168"/>
      <c r="T81" s="168"/>
      <c r="U81" s="168"/>
      <c r="V81" s="168"/>
      <c r="W81" s="168"/>
    </row>
    <row r="82" spans="1:23" s="169" customFormat="1" ht="17.25" customHeight="1">
      <c r="A82" s="217">
        <v>8</v>
      </c>
      <c r="B82" s="226" t="s">
        <v>160</v>
      </c>
      <c r="C82" s="608"/>
      <c r="D82" s="609"/>
      <c r="E82" s="609">
        <f>SUM(F82:I82)</f>
        <v>30000</v>
      </c>
      <c r="F82" s="609"/>
      <c r="G82" s="609"/>
      <c r="H82" s="609"/>
      <c r="I82" s="609">
        <v>30000</v>
      </c>
      <c r="J82" s="606"/>
      <c r="K82" s="37"/>
      <c r="L82" s="37"/>
      <c r="M82" s="37"/>
      <c r="N82" s="32"/>
      <c r="O82" s="168"/>
      <c r="P82" s="168"/>
      <c r="Q82" s="168"/>
      <c r="R82" s="168"/>
      <c r="S82" s="168"/>
      <c r="T82" s="168"/>
      <c r="U82" s="168"/>
      <c r="V82" s="168"/>
      <c r="W82" s="168"/>
    </row>
    <row r="83" spans="1:23" s="169" customFormat="1" ht="19.5" customHeight="1" thickBot="1">
      <c r="A83" s="626">
        <v>9</v>
      </c>
      <c r="B83" s="627" t="s">
        <v>446</v>
      </c>
      <c r="C83" s="628"/>
      <c r="D83" s="629"/>
      <c r="E83" s="629">
        <f>SUM(F83:I83)</f>
        <v>50000</v>
      </c>
      <c r="F83" s="629"/>
      <c r="G83" s="630"/>
      <c r="H83" s="630"/>
      <c r="I83" s="629">
        <v>50000</v>
      </c>
      <c r="J83" s="631"/>
      <c r="K83" s="37"/>
      <c r="L83" s="37"/>
      <c r="M83" s="37"/>
      <c r="N83" s="32"/>
      <c r="O83" s="168"/>
      <c r="P83" s="168"/>
      <c r="Q83" s="168"/>
      <c r="R83" s="168"/>
      <c r="S83" s="168"/>
      <c r="T83" s="168"/>
      <c r="U83" s="168"/>
      <c r="V83" s="168"/>
      <c r="W83" s="168"/>
    </row>
    <row r="84" spans="2:23" s="23" customFormat="1" ht="16.5">
      <c r="B84" s="176"/>
      <c r="C84" s="177"/>
      <c r="D84" s="177"/>
      <c r="G84" s="178"/>
      <c r="H84" s="178"/>
      <c r="I84" s="178"/>
      <c r="K84" s="37"/>
      <c r="L84" s="37"/>
      <c r="M84" s="37"/>
      <c r="N84" s="32"/>
      <c r="O84" s="32"/>
      <c r="P84" s="32"/>
      <c r="Q84" s="32"/>
      <c r="R84" s="32"/>
      <c r="S84" s="32"/>
      <c r="T84" s="32"/>
      <c r="U84" s="32"/>
      <c r="V84" s="32"/>
      <c r="W84" s="32"/>
    </row>
    <row r="85" spans="2:23" s="23" customFormat="1" ht="16.5">
      <c r="B85" s="176"/>
      <c r="C85" s="177"/>
      <c r="D85" s="177"/>
      <c r="G85" s="178"/>
      <c r="H85" s="178"/>
      <c r="I85" s="178"/>
      <c r="K85" s="37"/>
      <c r="L85" s="37"/>
      <c r="M85" s="37"/>
      <c r="N85" s="32"/>
      <c r="O85" s="32"/>
      <c r="P85" s="32"/>
      <c r="Q85" s="32"/>
      <c r="R85" s="32"/>
      <c r="S85" s="32"/>
      <c r="T85" s="32"/>
      <c r="U85" s="32"/>
      <c r="V85" s="32"/>
      <c r="W85" s="32"/>
    </row>
    <row r="86" spans="2:23" s="23" customFormat="1" ht="16.5">
      <c r="B86" s="176"/>
      <c r="C86" s="177"/>
      <c r="D86" s="177"/>
      <c r="G86" s="178"/>
      <c r="H86" s="178"/>
      <c r="I86" s="178"/>
      <c r="K86" s="37"/>
      <c r="L86" s="37"/>
      <c r="M86" s="37"/>
      <c r="N86" s="32"/>
      <c r="O86" s="32"/>
      <c r="P86" s="32"/>
      <c r="Q86" s="32"/>
      <c r="R86" s="32"/>
      <c r="S86" s="32"/>
      <c r="T86" s="32"/>
      <c r="U86" s="32"/>
      <c r="V86" s="32"/>
      <c r="W86" s="32"/>
    </row>
    <row r="87" spans="2:23" s="23" customFormat="1" ht="16.5">
      <c r="B87" s="176"/>
      <c r="C87" s="177"/>
      <c r="D87" s="177"/>
      <c r="G87" s="178"/>
      <c r="H87" s="178"/>
      <c r="I87" s="178"/>
      <c r="K87" s="37"/>
      <c r="L87" s="37"/>
      <c r="M87" s="37"/>
      <c r="N87" s="32"/>
      <c r="O87" s="32"/>
      <c r="P87" s="32"/>
      <c r="Q87" s="32"/>
      <c r="R87" s="32"/>
      <c r="S87" s="32"/>
      <c r="T87" s="32"/>
      <c r="U87" s="32"/>
      <c r="V87" s="32"/>
      <c r="W87" s="32"/>
    </row>
    <row r="88" spans="2:23" s="23" customFormat="1" ht="16.5">
      <c r="B88" s="179"/>
      <c r="C88" s="177"/>
      <c r="D88" s="177"/>
      <c r="G88" s="178"/>
      <c r="H88" s="178"/>
      <c r="I88" s="178"/>
      <c r="K88" s="37"/>
      <c r="L88" s="37"/>
      <c r="M88" s="37"/>
      <c r="N88" s="32"/>
      <c r="O88" s="32"/>
      <c r="P88" s="32"/>
      <c r="Q88" s="32"/>
      <c r="R88" s="32"/>
      <c r="S88" s="32"/>
      <c r="T88" s="32"/>
      <c r="U88" s="32"/>
      <c r="V88" s="32"/>
      <c r="W88" s="32"/>
    </row>
    <row r="89" spans="2:23" s="23" customFormat="1" ht="16.5">
      <c r="B89" s="24"/>
      <c r="C89" s="177"/>
      <c r="D89" s="177"/>
      <c r="G89" s="178"/>
      <c r="H89" s="178"/>
      <c r="I89" s="178"/>
      <c r="K89" s="37"/>
      <c r="L89" s="37"/>
      <c r="M89" s="37"/>
      <c r="N89" s="32"/>
      <c r="O89" s="32"/>
      <c r="P89" s="32"/>
      <c r="Q89" s="32"/>
      <c r="R89" s="32"/>
      <c r="S89" s="32"/>
      <c r="T89" s="32"/>
      <c r="U89" s="32"/>
      <c r="V89" s="32"/>
      <c r="W89" s="32"/>
    </row>
    <row r="90" spans="2:23" s="23" customFormat="1" ht="16.5">
      <c r="B90" s="24"/>
      <c r="C90" s="177"/>
      <c r="D90" s="177"/>
      <c r="G90" s="178"/>
      <c r="H90" s="178"/>
      <c r="I90" s="178"/>
      <c r="K90" s="37"/>
      <c r="L90" s="37"/>
      <c r="M90" s="37"/>
      <c r="N90" s="32"/>
      <c r="O90" s="32"/>
      <c r="P90" s="32"/>
      <c r="Q90" s="32"/>
      <c r="R90" s="32"/>
      <c r="S90" s="32"/>
      <c r="T90" s="32"/>
      <c r="U90" s="32"/>
      <c r="V90" s="32"/>
      <c r="W90" s="32"/>
    </row>
    <row r="91" spans="2:23" s="23" customFormat="1" ht="16.5">
      <c r="B91" s="24"/>
      <c r="C91" s="177"/>
      <c r="D91" s="177"/>
      <c r="G91" s="178"/>
      <c r="H91" s="178"/>
      <c r="I91" s="178"/>
      <c r="K91" s="37"/>
      <c r="L91" s="37"/>
      <c r="M91" s="37"/>
      <c r="N91" s="32"/>
      <c r="O91" s="32"/>
      <c r="P91" s="32"/>
      <c r="Q91" s="32"/>
      <c r="R91" s="32"/>
      <c r="S91" s="32"/>
      <c r="T91" s="32"/>
      <c r="U91" s="32"/>
      <c r="V91" s="32"/>
      <c r="W91" s="32"/>
    </row>
  </sheetData>
  <sheetProtection/>
  <mergeCells count="11">
    <mergeCell ref="I4:J4"/>
    <mergeCell ref="J5:J6"/>
    <mergeCell ref="D5:D6"/>
    <mergeCell ref="A1:J1"/>
    <mergeCell ref="A2:J2"/>
    <mergeCell ref="A3:J3"/>
    <mergeCell ref="A5:A6"/>
    <mergeCell ref="B5:B6"/>
    <mergeCell ref="C5:C6"/>
    <mergeCell ref="E5:E6"/>
    <mergeCell ref="F5:I5"/>
  </mergeCells>
  <printOptions horizontalCentered="1"/>
  <pageMargins left="0" right="0" top="0.5" bottom="0.5" header="0.5" footer="0"/>
  <pageSetup horizontalDpi="600" verticalDpi="600" orientation="landscape" paperSize="9" scale="95" r:id="rId1"/>
  <headerFooter alignWithMargins="0">
    <oddFooter>&amp;CPage &amp;P</oddFooter>
  </headerFooter>
</worksheet>
</file>

<file path=xl/worksheets/sheet18.xml><?xml version="1.0" encoding="utf-8"?>
<worksheet xmlns="http://schemas.openxmlformats.org/spreadsheetml/2006/main" xmlns:r="http://schemas.openxmlformats.org/officeDocument/2006/relationships">
  <dimension ref="A1:H22"/>
  <sheetViews>
    <sheetView zoomScalePageLayoutView="0" workbookViewId="0" topLeftCell="A1">
      <pane xSplit="2" ySplit="7" topLeftCell="C8" activePane="bottomRight" state="frozen"/>
      <selection pane="topLeft" activeCell="B11" sqref="B11"/>
      <selection pane="topRight" activeCell="B11" sqref="B11"/>
      <selection pane="bottomLeft" activeCell="B11" sqref="B11"/>
      <selection pane="bottomRight" activeCell="B5" sqref="B5:B6"/>
    </sheetView>
  </sheetViews>
  <sheetFormatPr defaultColWidth="8.88671875" defaultRowHeight="16.5"/>
  <cols>
    <col min="1" max="1" width="5.77734375" style="22" customWidth="1"/>
    <col min="2" max="2" width="51.99609375" style="40" customWidth="1"/>
    <col min="3" max="3" width="13.4453125" style="22" customWidth="1"/>
    <col min="4" max="4" width="11.88671875" style="22" customWidth="1"/>
    <col min="5" max="5" width="12.21484375" style="184" bestFit="1" customWidth="1"/>
    <col min="6" max="16384" width="8.88671875" style="22" customWidth="1"/>
  </cols>
  <sheetData>
    <row r="1" spans="1:5" ht="17.25" customHeight="1">
      <c r="A1" s="236" t="s">
        <v>369</v>
      </c>
      <c r="B1" s="236"/>
      <c r="C1" s="236"/>
      <c r="D1" s="236"/>
      <c r="E1" s="37"/>
    </row>
    <row r="2" spans="1:5" ht="36" customHeight="1">
      <c r="A2" s="248" t="s">
        <v>516</v>
      </c>
      <c r="B2" s="248"/>
      <c r="C2" s="248"/>
      <c r="D2" s="248"/>
      <c r="E2" s="37"/>
    </row>
    <row r="3" spans="1:5" ht="17.25" customHeight="1">
      <c r="A3" s="249" t="str">
        <f>'Biểu 12'!A3:J3</f>
        <v>(Kèm theo Nghị quyết số 86/NĐ-HĐND ngày 18 tháng 12 năm 2015 của HĐND huyện Sông Mã)</v>
      </c>
      <c r="B3" s="249"/>
      <c r="C3" s="249"/>
      <c r="D3" s="249"/>
      <c r="E3" s="37"/>
    </row>
    <row r="4" spans="1:5" ht="18.75" customHeight="1" thickBot="1">
      <c r="A4" s="27"/>
      <c r="B4" s="36"/>
      <c r="C4" s="633" t="s">
        <v>149</v>
      </c>
      <c r="D4" s="633"/>
      <c r="E4" s="37"/>
    </row>
    <row r="5" spans="1:5" s="14" customFormat="1" ht="16.5" customHeight="1">
      <c r="A5" s="346" t="s">
        <v>97</v>
      </c>
      <c r="B5" s="347" t="s">
        <v>159</v>
      </c>
      <c r="C5" s="347" t="s">
        <v>523</v>
      </c>
      <c r="D5" s="348" t="s">
        <v>144</v>
      </c>
      <c r="E5" s="166"/>
    </row>
    <row r="6" spans="1:5" s="14" customFormat="1" ht="20.25" customHeight="1">
      <c r="A6" s="349"/>
      <c r="B6" s="350"/>
      <c r="C6" s="350"/>
      <c r="D6" s="354"/>
      <c r="E6" s="166"/>
    </row>
    <row r="7" spans="1:8" s="11" customFormat="1" ht="23.25" customHeight="1">
      <c r="A7" s="328"/>
      <c r="B7" s="322" t="s">
        <v>524</v>
      </c>
      <c r="C7" s="355">
        <f>SUM(C8,C12,C13,C17,C21)</f>
        <v>4805000</v>
      </c>
      <c r="D7" s="634"/>
      <c r="E7" s="37"/>
      <c r="F7" s="22"/>
      <c r="G7" s="22"/>
      <c r="H7" s="22"/>
    </row>
    <row r="8" spans="1:8" s="160" customFormat="1" ht="27" customHeight="1">
      <c r="A8" s="330">
        <v>1</v>
      </c>
      <c r="B8" s="325" t="s">
        <v>584</v>
      </c>
      <c r="C8" s="359">
        <f>SUM(C9:C11)</f>
        <v>220000</v>
      </c>
      <c r="D8" s="636"/>
      <c r="E8" s="37"/>
      <c r="F8" s="182"/>
      <c r="G8" s="182"/>
      <c r="H8" s="182"/>
    </row>
    <row r="9" spans="1:8" s="160" customFormat="1" ht="27" customHeight="1">
      <c r="A9" s="330"/>
      <c r="B9" s="325" t="s">
        <v>90</v>
      </c>
      <c r="C9" s="359">
        <v>50000</v>
      </c>
      <c r="D9" s="635"/>
      <c r="E9" s="37"/>
      <c r="F9" s="182"/>
      <c r="G9" s="182"/>
      <c r="H9" s="182"/>
    </row>
    <row r="10" spans="1:8" s="160" customFormat="1" ht="27" customHeight="1">
      <c r="A10" s="330"/>
      <c r="B10" s="325" t="s">
        <v>91</v>
      </c>
      <c r="C10" s="359">
        <v>140000</v>
      </c>
      <c r="D10" s="635"/>
      <c r="E10" s="37"/>
      <c r="F10" s="182"/>
      <c r="G10" s="182"/>
      <c r="H10" s="182"/>
    </row>
    <row r="11" spans="1:8" s="160" customFormat="1" ht="27" customHeight="1">
      <c r="A11" s="330"/>
      <c r="B11" s="325" t="s">
        <v>92</v>
      </c>
      <c r="C11" s="359">
        <v>30000</v>
      </c>
      <c r="D11" s="635"/>
      <c r="E11" s="37"/>
      <c r="F11" s="182"/>
      <c r="G11" s="182"/>
      <c r="H11" s="182"/>
    </row>
    <row r="12" spans="1:8" s="160" customFormat="1" ht="27" customHeight="1">
      <c r="A12" s="330">
        <v>2</v>
      </c>
      <c r="B12" s="325" t="s">
        <v>93</v>
      </c>
      <c r="C12" s="359">
        <v>30000</v>
      </c>
      <c r="D12" s="636"/>
      <c r="E12" s="37"/>
      <c r="F12" s="182"/>
      <c r="G12" s="182"/>
      <c r="H12" s="182"/>
    </row>
    <row r="13" spans="1:8" s="160" customFormat="1" ht="27" customHeight="1">
      <c r="A13" s="330">
        <v>3</v>
      </c>
      <c r="B13" s="325" t="s">
        <v>213</v>
      </c>
      <c r="C13" s="359">
        <f>SUM(C14:C16)</f>
        <v>3075000</v>
      </c>
      <c r="D13" s="635"/>
      <c r="E13" s="37"/>
      <c r="F13" s="182"/>
      <c r="G13" s="182"/>
      <c r="H13" s="182"/>
    </row>
    <row r="14" spans="1:8" s="160" customFormat="1" ht="27" customHeight="1">
      <c r="A14" s="330"/>
      <c r="B14" s="325" t="s">
        <v>476</v>
      </c>
      <c r="C14" s="359">
        <v>1465000</v>
      </c>
      <c r="D14" s="635"/>
      <c r="E14" s="37"/>
      <c r="F14" s="182"/>
      <c r="G14" s="182"/>
      <c r="H14" s="182"/>
    </row>
    <row r="15" spans="1:8" s="160" customFormat="1" ht="27" customHeight="1">
      <c r="A15" s="330"/>
      <c r="B15" s="325" t="s">
        <v>477</v>
      </c>
      <c r="C15" s="359">
        <v>1300000</v>
      </c>
      <c r="D15" s="635"/>
      <c r="E15" s="37"/>
      <c r="F15" s="182"/>
      <c r="G15" s="182"/>
      <c r="H15" s="182"/>
    </row>
    <row r="16" spans="1:8" s="160" customFormat="1" ht="27" customHeight="1">
      <c r="A16" s="330"/>
      <c r="B16" s="325" t="s">
        <v>92</v>
      </c>
      <c r="C16" s="359">
        <v>310000</v>
      </c>
      <c r="D16" s="635"/>
      <c r="E16" s="37"/>
      <c r="F16" s="182"/>
      <c r="G16" s="182"/>
      <c r="H16" s="182"/>
    </row>
    <row r="17" spans="1:8" s="160" customFormat="1" ht="27" customHeight="1">
      <c r="A17" s="330">
        <v>4</v>
      </c>
      <c r="B17" s="325" t="s">
        <v>212</v>
      </c>
      <c r="C17" s="359">
        <f>SUM(C18:C20)</f>
        <v>1450000</v>
      </c>
      <c r="D17" s="635"/>
      <c r="E17" s="37"/>
      <c r="F17" s="182"/>
      <c r="G17" s="182"/>
      <c r="H17" s="182"/>
    </row>
    <row r="18" spans="1:8" s="160" customFormat="1" ht="27" customHeight="1">
      <c r="A18" s="330"/>
      <c r="B18" s="325" t="s">
        <v>478</v>
      </c>
      <c r="C18" s="359">
        <v>900000</v>
      </c>
      <c r="D18" s="635"/>
      <c r="E18" s="37"/>
      <c r="F18" s="182"/>
      <c r="G18" s="182"/>
      <c r="H18" s="182"/>
    </row>
    <row r="19" spans="1:8" s="160" customFormat="1" ht="27" customHeight="1">
      <c r="A19" s="330"/>
      <c r="B19" s="325" t="s">
        <v>479</v>
      </c>
      <c r="C19" s="359">
        <v>450000</v>
      </c>
      <c r="D19" s="635"/>
      <c r="E19" s="37"/>
      <c r="F19" s="182"/>
      <c r="G19" s="182"/>
      <c r="H19" s="182"/>
    </row>
    <row r="20" spans="1:8" s="160" customFormat="1" ht="56.25" customHeight="1">
      <c r="A20" s="330"/>
      <c r="B20" s="325" t="s">
        <v>290</v>
      </c>
      <c r="C20" s="359">
        <v>100000</v>
      </c>
      <c r="D20" s="635"/>
      <c r="E20" s="37"/>
      <c r="F20" s="182"/>
      <c r="G20" s="182"/>
      <c r="H20" s="182"/>
    </row>
    <row r="21" spans="1:8" s="160" customFormat="1" ht="40.5" customHeight="1" thickBot="1">
      <c r="A21" s="332">
        <v>5</v>
      </c>
      <c r="B21" s="333" t="s">
        <v>89</v>
      </c>
      <c r="C21" s="362">
        <v>30000</v>
      </c>
      <c r="D21" s="637"/>
      <c r="E21" s="37"/>
      <c r="F21" s="182"/>
      <c r="G21" s="182"/>
      <c r="H21" s="182"/>
    </row>
    <row r="22" spans="1:8" s="169" customFormat="1" ht="17.25" customHeight="1">
      <c r="A22" s="1"/>
      <c r="B22" s="1"/>
      <c r="C22" s="1"/>
      <c r="D22" s="183"/>
      <c r="E22" s="173"/>
      <c r="F22" s="168"/>
      <c r="G22" s="168"/>
      <c r="H22" s="168"/>
    </row>
  </sheetData>
  <sheetProtection/>
  <mergeCells count="8">
    <mergeCell ref="A1:D1"/>
    <mergeCell ref="A2:D2"/>
    <mergeCell ref="A3:D3"/>
    <mergeCell ref="D5:D6"/>
    <mergeCell ref="A5:A6"/>
    <mergeCell ref="B5:B6"/>
    <mergeCell ref="C5:C6"/>
    <mergeCell ref="C4:D4"/>
  </mergeCells>
  <printOptions horizontalCentered="1"/>
  <pageMargins left="0" right="0" top="0.5118110236220472" bottom="0.5118110236220472"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22"/>
  <sheetViews>
    <sheetView zoomScalePageLayoutView="0" workbookViewId="0" topLeftCell="A1">
      <pane xSplit="2" ySplit="6" topLeftCell="C7" activePane="bottomRight" state="frozen"/>
      <selection pane="topLeft" activeCell="B11" sqref="B11"/>
      <selection pane="topRight" activeCell="B11" sqref="B11"/>
      <selection pane="bottomLeft" activeCell="B11" sqref="B11"/>
      <selection pane="bottomRight" activeCell="C7" sqref="C7"/>
    </sheetView>
  </sheetViews>
  <sheetFormatPr defaultColWidth="8.88671875" defaultRowHeight="16.5"/>
  <cols>
    <col min="1" max="1" width="5.3359375" style="22" customWidth="1"/>
    <col min="2" max="2" width="38.99609375" style="40" customWidth="1"/>
    <col min="3" max="3" width="28.88671875" style="61" customWidth="1"/>
    <col min="4" max="4" width="10.99609375" style="22" customWidth="1"/>
    <col min="5" max="5" width="9.77734375" style="22" customWidth="1"/>
    <col min="6" max="16384" width="8.88671875" style="22" customWidth="1"/>
  </cols>
  <sheetData>
    <row r="1" spans="1:5" ht="16.5" customHeight="1">
      <c r="A1" s="548" t="s">
        <v>370</v>
      </c>
      <c r="B1" s="548"/>
      <c r="C1" s="548"/>
      <c r="D1" s="548"/>
      <c r="E1" s="548"/>
    </row>
    <row r="2" spans="1:5" ht="21" customHeight="1">
      <c r="A2" s="259" t="s">
        <v>517</v>
      </c>
      <c r="B2" s="259"/>
      <c r="C2" s="259"/>
      <c r="D2" s="259"/>
      <c r="E2" s="259"/>
    </row>
    <row r="3" spans="1:5" ht="21" customHeight="1">
      <c r="A3" s="252" t="str">
        <f>'Biểu 13'!A3:D3</f>
        <v>(Kèm theo Nghị quyết số 86/NĐ-HĐND ngày 18 tháng 12 năm 2015 của HĐND huyện Sông Mã)</v>
      </c>
      <c r="B3" s="252"/>
      <c r="C3" s="252"/>
      <c r="D3" s="252"/>
      <c r="E3" s="252"/>
    </row>
    <row r="4" spans="1:5" ht="21.75" customHeight="1" thickBot="1">
      <c r="A4" s="53"/>
      <c r="B4" s="164"/>
      <c r="C4" s="185"/>
      <c r="D4" s="640" t="s">
        <v>149</v>
      </c>
      <c r="E4" s="640"/>
    </row>
    <row r="5" spans="1:5" s="2" customFormat="1" ht="40.5" customHeight="1">
      <c r="A5" s="648" t="s">
        <v>97</v>
      </c>
      <c r="B5" s="649" t="s">
        <v>159</v>
      </c>
      <c r="C5" s="649" t="s">
        <v>289</v>
      </c>
      <c r="D5" s="649" t="s">
        <v>374</v>
      </c>
      <c r="E5" s="650" t="s">
        <v>144</v>
      </c>
    </row>
    <row r="6" spans="1:8" s="62" customFormat="1" ht="30" customHeight="1">
      <c r="A6" s="641"/>
      <c r="B6" s="651" t="s">
        <v>524</v>
      </c>
      <c r="C6" s="357"/>
      <c r="D6" s="652">
        <f>SUM(D7:D11,D12:D17)</f>
        <v>797000</v>
      </c>
      <c r="E6" s="642"/>
      <c r="F6" s="18"/>
      <c r="G6" s="18"/>
      <c r="H6" s="18"/>
    </row>
    <row r="7" spans="1:8" s="187" customFormat="1" ht="27" customHeight="1">
      <c r="A7" s="643">
        <v>1</v>
      </c>
      <c r="B7" s="325" t="s">
        <v>220</v>
      </c>
      <c r="C7" s="490" t="s">
        <v>236</v>
      </c>
      <c r="D7" s="638">
        <v>90000</v>
      </c>
      <c r="E7" s="642"/>
      <c r="F7" s="18"/>
      <c r="G7" s="18"/>
      <c r="H7" s="18"/>
    </row>
    <row r="8" spans="1:8" s="187" customFormat="1" ht="55.5" customHeight="1">
      <c r="A8" s="643">
        <v>2</v>
      </c>
      <c r="B8" s="325" t="s">
        <v>94</v>
      </c>
      <c r="C8" s="490" t="s">
        <v>314</v>
      </c>
      <c r="D8" s="638">
        <v>80000</v>
      </c>
      <c r="E8" s="642"/>
      <c r="F8" s="18"/>
      <c r="G8" s="18"/>
      <c r="H8" s="18"/>
    </row>
    <row r="9" spans="1:8" s="187" customFormat="1" ht="27" customHeight="1">
      <c r="A9" s="643">
        <v>3</v>
      </c>
      <c r="B9" s="356" t="s">
        <v>275</v>
      </c>
      <c r="C9" s="639" t="s">
        <v>201</v>
      </c>
      <c r="D9" s="638">
        <v>30000</v>
      </c>
      <c r="E9" s="644"/>
      <c r="F9" s="18"/>
      <c r="G9" s="18"/>
      <c r="H9" s="18"/>
    </row>
    <row r="10" spans="1:8" s="187" customFormat="1" ht="38.25" customHeight="1">
      <c r="A10" s="643">
        <v>4</v>
      </c>
      <c r="B10" s="356" t="s">
        <v>480</v>
      </c>
      <c r="C10" s="639" t="s">
        <v>270</v>
      </c>
      <c r="D10" s="638">
        <v>20000</v>
      </c>
      <c r="E10" s="644"/>
      <c r="F10" s="18"/>
      <c r="G10" s="18"/>
      <c r="H10" s="18"/>
    </row>
    <row r="11" spans="1:8" s="187" customFormat="1" ht="35.25" customHeight="1">
      <c r="A11" s="643">
        <v>5</v>
      </c>
      <c r="B11" s="356" t="s">
        <v>481</v>
      </c>
      <c r="C11" s="639" t="s">
        <v>314</v>
      </c>
      <c r="D11" s="638">
        <v>100000</v>
      </c>
      <c r="E11" s="644"/>
      <c r="F11" s="18"/>
      <c r="G11" s="18"/>
      <c r="H11" s="18"/>
    </row>
    <row r="12" spans="1:8" s="187" customFormat="1" ht="27" customHeight="1">
      <c r="A12" s="643">
        <v>6</v>
      </c>
      <c r="B12" s="356" t="s">
        <v>160</v>
      </c>
      <c r="C12" s="639" t="s">
        <v>201</v>
      </c>
      <c r="D12" s="638">
        <v>230000</v>
      </c>
      <c r="E12" s="644"/>
      <c r="F12" s="18"/>
      <c r="G12" s="18"/>
      <c r="H12" s="18"/>
    </row>
    <row r="13" spans="1:8" s="187" customFormat="1" ht="27" customHeight="1">
      <c r="A13" s="643">
        <v>7</v>
      </c>
      <c r="B13" s="356" t="s">
        <v>482</v>
      </c>
      <c r="C13" s="639" t="s">
        <v>325</v>
      </c>
      <c r="D13" s="638">
        <v>60000</v>
      </c>
      <c r="E13" s="644"/>
      <c r="F13" s="18"/>
      <c r="G13" s="18"/>
      <c r="H13" s="18"/>
    </row>
    <row r="14" spans="1:8" s="187" customFormat="1" ht="27" customHeight="1">
      <c r="A14" s="643">
        <v>8</v>
      </c>
      <c r="B14" s="356" t="s">
        <v>483</v>
      </c>
      <c r="C14" s="639" t="s">
        <v>326</v>
      </c>
      <c r="D14" s="638">
        <v>80000</v>
      </c>
      <c r="E14" s="644"/>
      <c r="F14" s="18"/>
      <c r="G14" s="18"/>
      <c r="H14" s="18"/>
    </row>
    <row r="15" spans="1:8" s="187" customFormat="1" ht="41.25" customHeight="1">
      <c r="A15" s="643">
        <v>9</v>
      </c>
      <c r="B15" s="356" t="s">
        <v>95</v>
      </c>
      <c r="C15" s="639" t="s">
        <v>494</v>
      </c>
      <c r="D15" s="638">
        <v>20000</v>
      </c>
      <c r="E15" s="644"/>
      <c r="F15" s="18"/>
      <c r="G15" s="18"/>
      <c r="H15" s="18"/>
    </row>
    <row r="16" spans="1:8" s="187" customFormat="1" ht="27" customHeight="1">
      <c r="A16" s="643">
        <v>10</v>
      </c>
      <c r="B16" s="356" t="s">
        <v>446</v>
      </c>
      <c r="C16" s="639"/>
      <c r="D16" s="638">
        <v>47000</v>
      </c>
      <c r="E16" s="644"/>
      <c r="F16" s="18"/>
      <c r="G16" s="18"/>
      <c r="H16" s="18"/>
    </row>
    <row r="17" spans="1:8" s="188" customFormat="1" ht="27.75" customHeight="1" thickBot="1">
      <c r="A17" s="645">
        <v>11</v>
      </c>
      <c r="B17" s="333" t="s">
        <v>484</v>
      </c>
      <c r="C17" s="501" t="s">
        <v>314</v>
      </c>
      <c r="D17" s="646">
        <v>40000</v>
      </c>
      <c r="E17" s="647"/>
      <c r="F17" s="18"/>
      <c r="G17" s="18"/>
      <c r="H17" s="18"/>
    </row>
    <row r="18" spans="2:3" s="2" customFormat="1" ht="15.75">
      <c r="B18" s="189"/>
      <c r="C18" s="190"/>
    </row>
    <row r="19" spans="1:8" s="2" customFormat="1" ht="16.5">
      <c r="A19" s="257"/>
      <c r="B19" s="257"/>
      <c r="C19" s="257"/>
      <c r="D19" s="257"/>
      <c r="E19" s="257"/>
      <c r="F19" s="64"/>
      <c r="G19" s="64"/>
      <c r="H19" s="64"/>
    </row>
    <row r="20" spans="2:3" s="1" customFormat="1" ht="16.5">
      <c r="B20" s="3"/>
      <c r="C20" s="58"/>
    </row>
    <row r="21" spans="2:3" s="1" customFormat="1" ht="16.5">
      <c r="B21" s="3"/>
      <c r="C21" s="58"/>
    </row>
    <row r="22" spans="2:3" s="1" customFormat="1" ht="16.5">
      <c r="B22" s="3"/>
      <c r="C22" s="58"/>
    </row>
  </sheetData>
  <sheetProtection/>
  <mergeCells count="5">
    <mergeCell ref="A19:E19"/>
    <mergeCell ref="A1:E1"/>
    <mergeCell ref="A2:E2"/>
    <mergeCell ref="A3:E3"/>
    <mergeCell ref="D4:E4"/>
  </mergeCells>
  <printOptions horizontalCentered="1"/>
  <pageMargins left="0" right="0" top="0.5118110236220472" bottom="0.5118110236220472"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Q317"/>
  <sheetViews>
    <sheetView zoomScalePageLayoutView="0" workbookViewId="0" topLeftCell="A1">
      <pane xSplit="3" ySplit="8" topLeftCell="D9" activePane="bottomRight" state="frozen"/>
      <selection pane="topLeft" activeCell="B11" sqref="B11"/>
      <selection pane="topRight" activeCell="B11" sqref="B11"/>
      <selection pane="bottomLeft" activeCell="B11" sqref="B11"/>
      <selection pane="bottomRight" activeCell="B5" sqref="B5:B7"/>
    </sheetView>
  </sheetViews>
  <sheetFormatPr defaultColWidth="8.88671875" defaultRowHeight="16.5"/>
  <cols>
    <col min="1" max="1" width="4.3359375" style="12" customWidth="1"/>
    <col min="2" max="2" width="40.21484375" style="12" customWidth="1"/>
    <col min="3" max="3" width="9.10546875" style="13" customWidth="1"/>
    <col min="4" max="4" width="9.21484375" style="7" customWidth="1"/>
    <col min="5" max="5" width="8.6640625" style="12" customWidth="1"/>
    <col min="6" max="7" width="8.77734375" style="12" customWidth="1"/>
    <col min="8" max="8" width="8.6640625" style="13" customWidth="1"/>
    <col min="9" max="9" width="8.99609375" style="13" customWidth="1"/>
    <col min="10" max="10" width="8.3359375" style="12" customWidth="1"/>
    <col min="11" max="11" width="7.99609375" style="12" customWidth="1"/>
    <col min="12" max="12" width="8.88671875" style="12" customWidth="1"/>
    <col min="13" max="13" width="8.21484375" style="12" customWidth="1"/>
    <col min="14" max="14" width="7.5546875" style="12" customWidth="1"/>
    <col min="15" max="15" width="7.88671875" style="12" customWidth="1"/>
    <col min="16" max="16" width="9.21484375" style="12" customWidth="1"/>
    <col min="17" max="16384" width="8.88671875" style="12" customWidth="1"/>
  </cols>
  <sheetData>
    <row r="1" spans="1:16" s="7" customFormat="1" ht="21.75" customHeight="1">
      <c r="A1" s="202" t="s">
        <v>564</v>
      </c>
      <c r="B1" s="202"/>
      <c r="C1" s="202"/>
      <c r="D1" s="202"/>
      <c r="E1" s="202"/>
      <c r="F1" s="202"/>
      <c r="G1" s="202"/>
      <c r="H1" s="202"/>
      <c r="I1" s="202"/>
      <c r="J1" s="202"/>
      <c r="K1" s="202"/>
      <c r="L1" s="202"/>
      <c r="M1" s="202"/>
      <c r="N1" s="202"/>
      <c r="O1" s="202"/>
      <c r="P1" s="202"/>
    </row>
    <row r="2" spans="1:16" ht="22.5" customHeight="1">
      <c r="A2" s="202" t="s">
        <v>499</v>
      </c>
      <c r="B2" s="202"/>
      <c r="C2" s="202"/>
      <c r="D2" s="202"/>
      <c r="E2" s="202"/>
      <c r="F2" s="202"/>
      <c r="G2" s="202"/>
      <c r="H2" s="202"/>
      <c r="I2" s="202"/>
      <c r="J2" s="202"/>
      <c r="K2" s="202"/>
      <c r="L2" s="202"/>
      <c r="M2" s="202"/>
      <c r="N2" s="202"/>
      <c r="O2" s="202"/>
      <c r="P2" s="202"/>
    </row>
    <row r="3" spans="1:16" ht="16.5">
      <c r="A3" s="201" t="str">
        <f>'Biểu 01'!A3:D3</f>
        <v>(Kèm theo Nghị quyết số 86/NĐ-HĐND ngày 18 tháng 12 năm 2015 của HĐND huyện Sông Mã)</v>
      </c>
      <c r="B3" s="201"/>
      <c r="C3" s="201"/>
      <c r="D3" s="201"/>
      <c r="E3" s="201"/>
      <c r="F3" s="201"/>
      <c r="G3" s="201"/>
      <c r="H3" s="201"/>
      <c r="I3" s="201"/>
      <c r="J3" s="201"/>
      <c r="K3" s="201"/>
      <c r="L3" s="201"/>
      <c r="M3" s="201"/>
      <c r="N3" s="201"/>
      <c r="O3" s="201"/>
      <c r="P3" s="201"/>
    </row>
    <row r="4" spans="1:16" ht="17.25" thickBot="1">
      <c r="A4" s="41"/>
      <c r="B4" s="43"/>
      <c r="C4" s="44"/>
      <c r="D4" s="45"/>
      <c r="E4" s="41"/>
      <c r="F4" s="41"/>
      <c r="G4" s="41"/>
      <c r="H4" s="46"/>
      <c r="I4" s="46"/>
      <c r="J4" s="41"/>
      <c r="K4" s="41"/>
      <c r="L4" s="41"/>
      <c r="M4" s="41"/>
      <c r="N4" s="272" t="s">
        <v>565</v>
      </c>
      <c r="O4" s="272"/>
      <c r="P4" s="272"/>
    </row>
    <row r="5" spans="1:16" s="271" customFormat="1" ht="15.75" customHeight="1">
      <c r="A5" s="273" t="s">
        <v>97</v>
      </c>
      <c r="B5" s="274" t="s">
        <v>186</v>
      </c>
      <c r="C5" s="275" t="s">
        <v>98</v>
      </c>
      <c r="D5" s="276" t="s">
        <v>187</v>
      </c>
      <c r="E5" s="276"/>
      <c r="F5" s="276"/>
      <c r="G5" s="276" t="s">
        <v>188</v>
      </c>
      <c r="H5" s="274"/>
      <c r="I5" s="274"/>
      <c r="J5" s="274"/>
      <c r="K5" s="274"/>
      <c r="L5" s="274"/>
      <c r="M5" s="274"/>
      <c r="N5" s="274"/>
      <c r="O5" s="274"/>
      <c r="P5" s="303"/>
    </row>
    <row r="6" spans="1:16" s="271" customFormat="1" ht="15.75" customHeight="1">
      <c r="A6" s="277"/>
      <c r="B6" s="278"/>
      <c r="C6" s="279"/>
      <c r="D6" s="280" t="s">
        <v>98</v>
      </c>
      <c r="E6" s="280" t="s">
        <v>102</v>
      </c>
      <c r="F6" s="280"/>
      <c r="G6" s="281" t="s">
        <v>189</v>
      </c>
      <c r="H6" s="280" t="s">
        <v>102</v>
      </c>
      <c r="I6" s="280"/>
      <c r="J6" s="280"/>
      <c r="K6" s="280"/>
      <c r="L6" s="280"/>
      <c r="M6" s="280"/>
      <c r="N6" s="280"/>
      <c r="O6" s="280"/>
      <c r="P6" s="304"/>
    </row>
    <row r="7" spans="1:16" s="271" customFormat="1" ht="49.5" customHeight="1">
      <c r="A7" s="277"/>
      <c r="B7" s="278"/>
      <c r="C7" s="279"/>
      <c r="D7" s="280"/>
      <c r="E7" s="282" t="s">
        <v>190</v>
      </c>
      <c r="F7" s="282" t="s">
        <v>191</v>
      </c>
      <c r="G7" s="283"/>
      <c r="H7" s="284" t="s">
        <v>192</v>
      </c>
      <c r="I7" s="284" t="s">
        <v>193</v>
      </c>
      <c r="J7" s="282" t="s">
        <v>194</v>
      </c>
      <c r="K7" s="282" t="s">
        <v>585</v>
      </c>
      <c r="L7" s="282" t="s">
        <v>195</v>
      </c>
      <c r="M7" s="282" t="s">
        <v>196</v>
      </c>
      <c r="N7" s="282" t="s">
        <v>586</v>
      </c>
      <c r="O7" s="282" t="s">
        <v>179</v>
      </c>
      <c r="P7" s="305" t="s">
        <v>197</v>
      </c>
    </row>
    <row r="8" spans="1:17" s="297" customFormat="1" ht="18.75" customHeight="1">
      <c r="A8" s="285"/>
      <c r="B8" s="282" t="s">
        <v>566</v>
      </c>
      <c r="C8" s="306">
        <f>C9+C12</f>
        <v>441244.99999999994</v>
      </c>
      <c r="D8" s="306">
        <f aca="true" t="shared" si="0" ref="D8:P8">D9+D12</f>
        <v>17264</v>
      </c>
      <c r="E8" s="306">
        <f t="shared" si="0"/>
        <v>15264</v>
      </c>
      <c r="F8" s="306">
        <f t="shared" si="0"/>
        <v>2000</v>
      </c>
      <c r="G8" s="306">
        <f t="shared" si="0"/>
        <v>423980.99999999994</v>
      </c>
      <c r="H8" s="306">
        <f t="shared" si="0"/>
        <v>25889.3</v>
      </c>
      <c r="I8" s="306">
        <f t="shared" si="0"/>
        <v>309858</v>
      </c>
      <c r="J8" s="306">
        <f t="shared" si="0"/>
        <v>29884.660000000003</v>
      </c>
      <c r="K8" s="306">
        <f t="shared" si="0"/>
        <v>5265</v>
      </c>
      <c r="L8" s="306">
        <f t="shared" si="0"/>
        <v>14679.04</v>
      </c>
      <c r="M8" s="306">
        <f t="shared" si="0"/>
        <v>24342</v>
      </c>
      <c r="N8" s="306">
        <f t="shared" si="0"/>
        <v>4805</v>
      </c>
      <c r="O8" s="306">
        <f t="shared" si="0"/>
        <v>8461</v>
      </c>
      <c r="P8" s="307">
        <f t="shared" si="0"/>
        <v>797</v>
      </c>
      <c r="Q8" s="296"/>
    </row>
    <row r="9" spans="1:16" s="298" customFormat="1" ht="18.75" customHeight="1">
      <c r="A9" s="285" t="s">
        <v>146</v>
      </c>
      <c r="B9" s="286" t="s">
        <v>567</v>
      </c>
      <c r="C9" s="306">
        <f>SUM(C10:C11)</f>
        <v>17264</v>
      </c>
      <c r="D9" s="306">
        <f>SUM(D10:D11)</f>
        <v>17264</v>
      </c>
      <c r="E9" s="306">
        <f>SUM(E10:E11)</f>
        <v>15264</v>
      </c>
      <c r="F9" s="306">
        <f>SUM(F10:F11)</f>
        <v>2000</v>
      </c>
      <c r="G9" s="306">
        <f>H9+K9</f>
        <v>0</v>
      </c>
      <c r="H9" s="306"/>
      <c r="I9" s="306"/>
      <c r="J9" s="306"/>
      <c r="K9" s="306"/>
      <c r="L9" s="306"/>
      <c r="M9" s="306"/>
      <c r="N9" s="306"/>
      <c r="O9" s="306"/>
      <c r="P9" s="307"/>
    </row>
    <row r="10" spans="1:16" s="298" customFormat="1" ht="18.75" customHeight="1">
      <c r="A10" s="287">
        <v>1</v>
      </c>
      <c r="B10" s="288" t="s">
        <v>122</v>
      </c>
      <c r="C10" s="308">
        <f>D10+G10</f>
        <v>2000</v>
      </c>
      <c r="D10" s="308">
        <f>E10+F10</f>
        <v>2000</v>
      </c>
      <c r="E10" s="308"/>
      <c r="F10" s="308">
        <f>'Biểu 01'!C9/1000</f>
        <v>2000</v>
      </c>
      <c r="G10" s="306"/>
      <c r="H10" s="306"/>
      <c r="I10" s="306"/>
      <c r="J10" s="306"/>
      <c r="K10" s="306"/>
      <c r="L10" s="306"/>
      <c r="M10" s="306"/>
      <c r="N10" s="306"/>
      <c r="O10" s="306"/>
      <c r="P10" s="307"/>
    </row>
    <row r="11" spans="1:16" s="298" customFormat="1" ht="18.75" customHeight="1">
      <c r="A11" s="287">
        <v>2</v>
      </c>
      <c r="B11" s="288" t="s">
        <v>123</v>
      </c>
      <c r="C11" s="308">
        <f>D11+G11</f>
        <v>15264</v>
      </c>
      <c r="D11" s="308">
        <f>E11+F11</f>
        <v>15264</v>
      </c>
      <c r="E11" s="308">
        <f>'Biểu 01'!C12/1000</f>
        <v>15264</v>
      </c>
      <c r="F11" s="308"/>
      <c r="G11" s="306"/>
      <c r="H11" s="306"/>
      <c r="I11" s="306"/>
      <c r="J11" s="306"/>
      <c r="K11" s="306"/>
      <c r="L11" s="306"/>
      <c r="M11" s="306"/>
      <c r="N11" s="306"/>
      <c r="O11" s="306"/>
      <c r="P11" s="307"/>
    </row>
    <row r="12" spans="1:16" s="297" customFormat="1" ht="18.75" customHeight="1">
      <c r="A12" s="285" t="s">
        <v>145</v>
      </c>
      <c r="B12" s="286" t="s">
        <v>568</v>
      </c>
      <c r="C12" s="306">
        <f>C13+C25+C34+C41+C47+C51+C64+C79+C83+C96+C100+C106+C117+C93</f>
        <v>423980.99999999994</v>
      </c>
      <c r="D12" s="306">
        <f aca="true" t="shared" si="1" ref="D12:P12">D13+D25+D34+D41+D47+D51+D64+D79+D83+D96+D100+D106+D117+D93</f>
        <v>0</v>
      </c>
      <c r="E12" s="306">
        <f t="shared" si="1"/>
        <v>0</v>
      </c>
      <c r="F12" s="306">
        <f t="shared" si="1"/>
        <v>0</v>
      </c>
      <c r="G12" s="306">
        <f t="shared" si="1"/>
        <v>423980.99999999994</v>
      </c>
      <c r="H12" s="306">
        <f t="shared" si="1"/>
        <v>25889.3</v>
      </c>
      <c r="I12" s="306">
        <f t="shared" si="1"/>
        <v>309858</v>
      </c>
      <c r="J12" s="306">
        <f t="shared" si="1"/>
        <v>29884.660000000003</v>
      </c>
      <c r="K12" s="306">
        <f t="shared" si="1"/>
        <v>5265</v>
      </c>
      <c r="L12" s="306">
        <f t="shared" si="1"/>
        <v>14679.04</v>
      </c>
      <c r="M12" s="306">
        <f t="shared" si="1"/>
        <v>24342</v>
      </c>
      <c r="N12" s="306">
        <f t="shared" si="1"/>
        <v>4805</v>
      </c>
      <c r="O12" s="306">
        <f t="shared" si="1"/>
        <v>8461</v>
      </c>
      <c r="P12" s="307">
        <f t="shared" si="1"/>
        <v>797</v>
      </c>
    </row>
    <row r="13" spans="1:16" s="299" customFormat="1" ht="18.75" customHeight="1">
      <c r="A13" s="289" t="s">
        <v>99</v>
      </c>
      <c r="B13" s="290" t="s">
        <v>195</v>
      </c>
      <c r="C13" s="306">
        <f>SUM(C14,C18:C24)</f>
        <v>14679.04</v>
      </c>
      <c r="D13" s="306">
        <f aca="true" t="shared" si="2" ref="D13:P13">SUM(D14,D18:D24)</f>
        <v>0</v>
      </c>
      <c r="E13" s="306">
        <f t="shared" si="2"/>
        <v>0</v>
      </c>
      <c r="F13" s="306">
        <f t="shared" si="2"/>
        <v>0</v>
      </c>
      <c r="G13" s="306">
        <f t="shared" si="2"/>
        <v>14679.04</v>
      </c>
      <c r="H13" s="306">
        <f t="shared" si="2"/>
        <v>0</v>
      </c>
      <c r="I13" s="306">
        <f t="shared" si="2"/>
        <v>0</v>
      </c>
      <c r="J13" s="306">
        <f t="shared" si="2"/>
        <v>0</v>
      </c>
      <c r="K13" s="306">
        <f t="shared" si="2"/>
        <v>0</v>
      </c>
      <c r="L13" s="306">
        <f t="shared" si="2"/>
        <v>14679.04</v>
      </c>
      <c r="M13" s="306">
        <f t="shared" si="2"/>
        <v>0</v>
      </c>
      <c r="N13" s="306">
        <f t="shared" si="2"/>
        <v>0</v>
      </c>
      <c r="O13" s="306">
        <f t="shared" si="2"/>
        <v>0</v>
      </c>
      <c r="P13" s="307">
        <f t="shared" si="2"/>
        <v>0</v>
      </c>
    </row>
    <row r="14" spans="1:16" s="300" customFormat="1" ht="18.75" customHeight="1">
      <c r="A14" s="291">
        <v>1</v>
      </c>
      <c r="B14" s="288" t="s">
        <v>569</v>
      </c>
      <c r="C14" s="308">
        <f aca="true" t="shared" si="3" ref="C14:C24">D14+G14</f>
        <v>1538.2</v>
      </c>
      <c r="D14" s="308">
        <f aca="true" t="shared" si="4" ref="D14:K14">SUM(D15:D16)</f>
        <v>0</v>
      </c>
      <c r="E14" s="308">
        <f t="shared" si="4"/>
        <v>0</v>
      </c>
      <c r="F14" s="308">
        <f t="shared" si="4"/>
        <v>0</v>
      </c>
      <c r="G14" s="308">
        <f t="shared" si="4"/>
        <v>1538.2</v>
      </c>
      <c r="H14" s="308">
        <f t="shared" si="4"/>
        <v>0</v>
      </c>
      <c r="I14" s="308">
        <f t="shared" si="4"/>
        <v>0</v>
      </c>
      <c r="J14" s="308">
        <f t="shared" si="4"/>
        <v>0</v>
      </c>
      <c r="K14" s="308">
        <f t="shared" si="4"/>
        <v>0</v>
      </c>
      <c r="L14" s="308">
        <f>SUM(L15:L16)</f>
        <v>1538.2</v>
      </c>
      <c r="M14" s="308"/>
      <c r="N14" s="308"/>
      <c r="O14" s="308"/>
      <c r="P14" s="309"/>
    </row>
    <row r="15" spans="1:16" s="300" customFormat="1" ht="18.75" customHeight="1">
      <c r="A15" s="291"/>
      <c r="B15" s="288" t="s">
        <v>529</v>
      </c>
      <c r="C15" s="308">
        <f t="shared" si="3"/>
        <v>1228.2</v>
      </c>
      <c r="D15" s="308"/>
      <c r="E15" s="308"/>
      <c r="F15" s="308"/>
      <c r="G15" s="308">
        <f aca="true" t="shared" si="5" ref="G15:G24">SUM(H15:P15)</f>
        <v>1228.2</v>
      </c>
      <c r="H15" s="308"/>
      <c r="I15" s="308"/>
      <c r="J15" s="308"/>
      <c r="K15" s="308"/>
      <c r="L15" s="308">
        <f>'Biểu 01'!C16/1000</f>
        <v>1228.2</v>
      </c>
      <c r="M15" s="308"/>
      <c r="N15" s="308"/>
      <c r="O15" s="308"/>
      <c r="P15" s="309"/>
    </row>
    <row r="16" spans="1:16" s="300" customFormat="1" ht="18.75" customHeight="1">
      <c r="A16" s="291"/>
      <c r="B16" s="288" t="s">
        <v>530</v>
      </c>
      <c r="C16" s="308">
        <f t="shared" si="3"/>
        <v>310</v>
      </c>
      <c r="D16" s="308"/>
      <c r="E16" s="308"/>
      <c r="F16" s="308"/>
      <c r="G16" s="308">
        <f t="shared" si="5"/>
        <v>310</v>
      </c>
      <c r="H16" s="308"/>
      <c r="I16" s="308"/>
      <c r="J16" s="308"/>
      <c r="K16" s="308"/>
      <c r="L16" s="308">
        <f>'Biểu 01'!C17/1000</f>
        <v>310</v>
      </c>
      <c r="M16" s="308"/>
      <c r="N16" s="308"/>
      <c r="O16" s="308"/>
      <c r="P16" s="309"/>
    </row>
    <row r="17" spans="1:16" s="300" customFormat="1" ht="20.25" customHeight="1">
      <c r="A17" s="291"/>
      <c r="B17" s="288" t="s">
        <v>531</v>
      </c>
      <c r="C17" s="308">
        <f t="shared" si="3"/>
        <v>130</v>
      </c>
      <c r="D17" s="308"/>
      <c r="E17" s="308"/>
      <c r="F17" s="308"/>
      <c r="G17" s="308">
        <f t="shared" si="5"/>
        <v>130</v>
      </c>
      <c r="H17" s="308"/>
      <c r="I17" s="308"/>
      <c r="J17" s="308"/>
      <c r="K17" s="308"/>
      <c r="L17" s="308">
        <f>'Biểu 01'!C18/1000</f>
        <v>130</v>
      </c>
      <c r="M17" s="308"/>
      <c r="N17" s="308"/>
      <c r="O17" s="308"/>
      <c r="P17" s="309"/>
    </row>
    <row r="18" spans="1:16" s="300" customFormat="1" ht="18.75" customHeight="1">
      <c r="A18" s="291">
        <v>2</v>
      </c>
      <c r="B18" s="288" t="s">
        <v>532</v>
      </c>
      <c r="C18" s="308">
        <f t="shared" si="3"/>
        <v>1684</v>
      </c>
      <c r="D18" s="308"/>
      <c r="E18" s="308"/>
      <c r="F18" s="308"/>
      <c r="G18" s="308">
        <f t="shared" si="5"/>
        <v>1684</v>
      </c>
      <c r="H18" s="308"/>
      <c r="I18" s="308"/>
      <c r="J18" s="308"/>
      <c r="K18" s="308"/>
      <c r="L18" s="308">
        <f>'Biểu 01'!C19/1000</f>
        <v>1684</v>
      </c>
      <c r="M18" s="308"/>
      <c r="N18" s="308"/>
      <c r="O18" s="308"/>
      <c r="P18" s="309"/>
    </row>
    <row r="19" spans="1:16" s="300" customFormat="1" ht="29.25" customHeight="1">
      <c r="A19" s="291">
        <v>3</v>
      </c>
      <c r="B19" s="288" t="s">
        <v>533</v>
      </c>
      <c r="C19" s="308">
        <f t="shared" si="3"/>
        <v>2770</v>
      </c>
      <c r="D19" s="308"/>
      <c r="E19" s="308"/>
      <c r="F19" s="308"/>
      <c r="G19" s="308">
        <f t="shared" si="5"/>
        <v>2770</v>
      </c>
      <c r="H19" s="308"/>
      <c r="I19" s="308"/>
      <c r="J19" s="308"/>
      <c r="K19" s="308"/>
      <c r="L19" s="308">
        <f>'Biểu 01'!C20/1000</f>
        <v>2770</v>
      </c>
      <c r="M19" s="308"/>
      <c r="N19" s="308"/>
      <c r="O19" s="308"/>
      <c r="P19" s="309"/>
    </row>
    <row r="20" spans="1:16" s="300" customFormat="1" ht="18.75" customHeight="1">
      <c r="A20" s="291">
        <v>4</v>
      </c>
      <c r="B20" s="288" t="s">
        <v>534</v>
      </c>
      <c r="C20" s="308">
        <f t="shared" si="3"/>
        <v>1214</v>
      </c>
      <c r="D20" s="308"/>
      <c r="E20" s="308"/>
      <c r="F20" s="308"/>
      <c r="G20" s="308">
        <f t="shared" si="5"/>
        <v>1214</v>
      </c>
      <c r="H20" s="308"/>
      <c r="I20" s="308"/>
      <c r="J20" s="308"/>
      <c r="K20" s="308"/>
      <c r="L20" s="308">
        <f>'Biểu 01'!C21/1000</f>
        <v>1214</v>
      </c>
      <c r="M20" s="308"/>
      <c r="N20" s="308"/>
      <c r="O20" s="308"/>
      <c r="P20" s="309"/>
    </row>
    <row r="21" spans="1:16" s="300" customFormat="1" ht="18.75" customHeight="1">
      <c r="A21" s="291">
        <v>5</v>
      </c>
      <c r="B21" s="288" t="s">
        <v>276</v>
      </c>
      <c r="C21" s="308">
        <f t="shared" si="3"/>
        <v>3000</v>
      </c>
      <c r="D21" s="308"/>
      <c r="E21" s="308"/>
      <c r="F21" s="308"/>
      <c r="G21" s="308">
        <f t="shared" si="5"/>
        <v>3000</v>
      </c>
      <c r="H21" s="308"/>
      <c r="I21" s="308"/>
      <c r="J21" s="308"/>
      <c r="K21" s="308"/>
      <c r="L21" s="308">
        <f>'Biểu 01'!C22/1000</f>
        <v>3000</v>
      </c>
      <c r="M21" s="308"/>
      <c r="N21" s="308"/>
      <c r="O21" s="308"/>
      <c r="P21" s="309"/>
    </row>
    <row r="22" spans="1:16" s="300" customFormat="1" ht="18.75" customHeight="1">
      <c r="A22" s="291">
        <v>6</v>
      </c>
      <c r="B22" s="288" t="s">
        <v>218</v>
      </c>
      <c r="C22" s="308">
        <f t="shared" si="3"/>
        <v>1100</v>
      </c>
      <c r="D22" s="308"/>
      <c r="E22" s="308"/>
      <c r="F22" s="308"/>
      <c r="G22" s="308">
        <f t="shared" si="5"/>
        <v>1100</v>
      </c>
      <c r="H22" s="308"/>
      <c r="I22" s="308"/>
      <c r="J22" s="308"/>
      <c r="K22" s="308"/>
      <c r="L22" s="308">
        <f>'Biểu 01'!C23/1000</f>
        <v>1100</v>
      </c>
      <c r="M22" s="308"/>
      <c r="N22" s="308"/>
      <c r="O22" s="308"/>
      <c r="P22" s="309"/>
    </row>
    <row r="23" spans="1:16" s="300" customFormat="1" ht="18.75" customHeight="1">
      <c r="A23" s="291">
        <v>7</v>
      </c>
      <c r="B23" s="288" t="s">
        <v>221</v>
      </c>
      <c r="C23" s="308">
        <f t="shared" si="3"/>
        <v>900</v>
      </c>
      <c r="D23" s="308"/>
      <c r="E23" s="308"/>
      <c r="F23" s="308"/>
      <c r="G23" s="308">
        <f t="shared" si="5"/>
        <v>900</v>
      </c>
      <c r="H23" s="308"/>
      <c r="I23" s="308"/>
      <c r="J23" s="308"/>
      <c r="K23" s="308"/>
      <c r="L23" s="308">
        <f>'Biểu 01'!C24/1000</f>
        <v>900</v>
      </c>
      <c r="M23" s="308"/>
      <c r="N23" s="308"/>
      <c r="O23" s="308"/>
      <c r="P23" s="309"/>
    </row>
    <row r="24" spans="1:16" s="300" customFormat="1" ht="18.75" customHeight="1">
      <c r="A24" s="291">
        <v>8</v>
      </c>
      <c r="B24" s="288" t="s">
        <v>158</v>
      </c>
      <c r="C24" s="308">
        <f t="shared" si="3"/>
        <v>2472.84</v>
      </c>
      <c r="D24" s="308"/>
      <c r="E24" s="308"/>
      <c r="F24" s="308"/>
      <c r="G24" s="308">
        <f t="shared" si="5"/>
        <v>2472.84</v>
      </c>
      <c r="H24" s="308"/>
      <c r="I24" s="308"/>
      <c r="J24" s="308"/>
      <c r="K24" s="308"/>
      <c r="L24" s="308">
        <f>'Biểu 01'!C25/1000</f>
        <v>2472.84</v>
      </c>
      <c r="M24" s="308"/>
      <c r="N24" s="308"/>
      <c r="O24" s="308"/>
      <c r="P24" s="309"/>
    </row>
    <row r="25" spans="1:16" s="299" customFormat="1" ht="18.75" customHeight="1">
      <c r="A25" s="289" t="s">
        <v>100</v>
      </c>
      <c r="B25" s="290" t="s">
        <v>208</v>
      </c>
      <c r="C25" s="310">
        <f>SUM(C26:C33)</f>
        <v>308208</v>
      </c>
      <c r="D25" s="310">
        <f aca="true" t="shared" si="6" ref="D25:P25">SUM(D26:D33)</f>
        <v>0</v>
      </c>
      <c r="E25" s="310">
        <f t="shared" si="6"/>
        <v>0</v>
      </c>
      <c r="F25" s="310">
        <f t="shared" si="6"/>
        <v>0</v>
      </c>
      <c r="G25" s="310">
        <f t="shared" si="6"/>
        <v>308208</v>
      </c>
      <c r="H25" s="310">
        <f t="shared" si="6"/>
        <v>0</v>
      </c>
      <c r="I25" s="310">
        <f t="shared" si="6"/>
        <v>308208</v>
      </c>
      <c r="J25" s="310">
        <f t="shared" si="6"/>
        <v>0</v>
      </c>
      <c r="K25" s="310">
        <f t="shared" si="6"/>
        <v>0</v>
      </c>
      <c r="L25" s="310">
        <f t="shared" si="6"/>
        <v>0</v>
      </c>
      <c r="M25" s="310">
        <f t="shared" si="6"/>
        <v>0</v>
      </c>
      <c r="N25" s="310">
        <f t="shared" si="6"/>
        <v>0</v>
      </c>
      <c r="O25" s="310">
        <f t="shared" si="6"/>
        <v>0</v>
      </c>
      <c r="P25" s="311">
        <f t="shared" si="6"/>
        <v>0</v>
      </c>
    </row>
    <row r="26" spans="1:16" s="300" customFormat="1" ht="18.75" customHeight="1">
      <c r="A26" s="291">
        <v>1</v>
      </c>
      <c r="B26" s="292" t="s">
        <v>570</v>
      </c>
      <c r="C26" s="308">
        <f aca="true" t="shared" si="7" ref="C26:C33">D26+G26</f>
        <v>46319.46</v>
      </c>
      <c r="D26" s="308"/>
      <c r="E26" s="308"/>
      <c r="F26" s="308"/>
      <c r="G26" s="308">
        <f>SUM(H26:P26)</f>
        <v>46319.46</v>
      </c>
      <c r="H26" s="308"/>
      <c r="I26" s="308">
        <f>'Biểu 08'!E10/1000</f>
        <v>46319.46</v>
      </c>
      <c r="J26" s="308"/>
      <c r="K26" s="308"/>
      <c r="L26" s="308"/>
      <c r="M26" s="308"/>
      <c r="N26" s="308"/>
      <c r="O26" s="308"/>
      <c r="P26" s="309"/>
    </row>
    <row r="27" spans="1:16" s="300" customFormat="1" ht="18.75" customHeight="1">
      <c r="A27" s="291">
        <v>2</v>
      </c>
      <c r="B27" s="292" t="s">
        <v>571</v>
      </c>
      <c r="C27" s="308">
        <f t="shared" si="7"/>
        <v>55142.5</v>
      </c>
      <c r="D27" s="308"/>
      <c r="E27" s="308"/>
      <c r="F27" s="308"/>
      <c r="G27" s="308">
        <f aca="true" t="shared" si="8" ref="G27:G32">SUM(H27:P27)</f>
        <v>55142.5</v>
      </c>
      <c r="H27" s="308"/>
      <c r="I27" s="308">
        <f>'Biểu 08'!E22/1000</f>
        <v>55142.5</v>
      </c>
      <c r="J27" s="308"/>
      <c r="K27" s="308"/>
      <c r="L27" s="308"/>
      <c r="M27" s="308"/>
      <c r="N27" s="308"/>
      <c r="O27" s="308"/>
      <c r="P27" s="309"/>
    </row>
    <row r="28" spans="1:16" s="300" customFormat="1" ht="18.75" customHeight="1">
      <c r="A28" s="291">
        <v>3</v>
      </c>
      <c r="B28" s="292" t="s">
        <v>572</v>
      </c>
      <c r="C28" s="308">
        <f t="shared" si="7"/>
        <v>125598</v>
      </c>
      <c r="D28" s="308"/>
      <c r="E28" s="308"/>
      <c r="F28" s="308"/>
      <c r="G28" s="308">
        <f t="shared" si="8"/>
        <v>125598</v>
      </c>
      <c r="H28" s="308"/>
      <c r="I28" s="308">
        <f>'Biểu 08'!E26/1000</f>
        <v>125598</v>
      </c>
      <c r="J28" s="308"/>
      <c r="K28" s="308"/>
      <c r="L28" s="308"/>
      <c r="M28" s="308"/>
      <c r="N28" s="308"/>
      <c r="O28" s="308"/>
      <c r="P28" s="309"/>
    </row>
    <row r="29" spans="1:16" s="300" customFormat="1" ht="18.75" customHeight="1">
      <c r="A29" s="291">
        <v>4</v>
      </c>
      <c r="B29" s="292" t="s">
        <v>327</v>
      </c>
      <c r="C29" s="308">
        <f t="shared" si="7"/>
        <v>72383.14</v>
      </c>
      <c r="D29" s="308"/>
      <c r="E29" s="308"/>
      <c r="F29" s="308"/>
      <c r="G29" s="308">
        <f t="shared" si="8"/>
        <v>72383.14</v>
      </c>
      <c r="H29" s="308"/>
      <c r="I29" s="308">
        <f>'Biểu 08'!E30/1000</f>
        <v>72383.14</v>
      </c>
      <c r="J29" s="308"/>
      <c r="K29" s="308"/>
      <c r="L29" s="308"/>
      <c r="M29" s="308"/>
      <c r="N29" s="308"/>
      <c r="O29" s="308"/>
      <c r="P29" s="309"/>
    </row>
    <row r="30" spans="1:16" s="300" customFormat="1" ht="18.75" customHeight="1">
      <c r="A30" s="291">
        <v>5</v>
      </c>
      <c r="B30" s="292" t="s">
        <v>322</v>
      </c>
      <c r="C30" s="308">
        <f t="shared" si="7"/>
        <v>825.9</v>
      </c>
      <c r="D30" s="308"/>
      <c r="E30" s="308"/>
      <c r="F30" s="308"/>
      <c r="G30" s="308">
        <f t="shared" si="8"/>
        <v>825.9</v>
      </c>
      <c r="H30" s="308"/>
      <c r="I30" s="308">
        <f>'Biểu 08'!E34/1000</f>
        <v>825.9</v>
      </c>
      <c r="J30" s="308"/>
      <c r="K30" s="308"/>
      <c r="L30" s="308"/>
      <c r="M30" s="308"/>
      <c r="N30" s="308"/>
      <c r="O30" s="308"/>
      <c r="P30" s="309"/>
    </row>
    <row r="31" spans="1:16" s="300" customFormat="1" ht="30" customHeight="1">
      <c r="A31" s="291">
        <v>6</v>
      </c>
      <c r="B31" s="292" t="s">
        <v>573</v>
      </c>
      <c r="C31" s="308">
        <f t="shared" si="7"/>
        <v>5450</v>
      </c>
      <c r="D31" s="308"/>
      <c r="E31" s="308"/>
      <c r="F31" s="308"/>
      <c r="G31" s="308">
        <f t="shared" si="8"/>
        <v>5450</v>
      </c>
      <c r="H31" s="308"/>
      <c r="I31" s="308">
        <f>'Biểu 08'!E35/1000</f>
        <v>5450</v>
      </c>
      <c r="J31" s="308"/>
      <c r="K31" s="308"/>
      <c r="L31" s="308"/>
      <c r="M31" s="308"/>
      <c r="N31" s="308"/>
      <c r="O31" s="308"/>
      <c r="P31" s="309"/>
    </row>
    <row r="32" spans="1:16" s="300" customFormat="1" ht="18.75" customHeight="1">
      <c r="A32" s="291">
        <v>7</v>
      </c>
      <c r="B32" s="292" t="s">
        <v>160</v>
      </c>
      <c r="C32" s="308">
        <f t="shared" si="7"/>
        <v>780</v>
      </c>
      <c r="D32" s="308"/>
      <c r="E32" s="308"/>
      <c r="F32" s="308"/>
      <c r="G32" s="308">
        <f t="shared" si="8"/>
        <v>780</v>
      </c>
      <c r="H32" s="308"/>
      <c r="I32" s="308">
        <f>'Biểu 08'!E36/1000</f>
        <v>780</v>
      </c>
      <c r="J32" s="308"/>
      <c r="K32" s="308"/>
      <c r="L32" s="308"/>
      <c r="M32" s="308"/>
      <c r="N32" s="308"/>
      <c r="O32" s="308"/>
      <c r="P32" s="309"/>
    </row>
    <row r="33" spans="1:16" s="300" customFormat="1" ht="18.75" customHeight="1">
      <c r="A33" s="291">
        <v>8</v>
      </c>
      <c r="B33" s="292" t="s">
        <v>446</v>
      </c>
      <c r="C33" s="308">
        <f t="shared" si="7"/>
        <v>1709</v>
      </c>
      <c r="D33" s="308"/>
      <c r="E33" s="308"/>
      <c r="F33" s="308"/>
      <c r="G33" s="308">
        <f>SUM(H33:P33)</f>
        <v>1709</v>
      </c>
      <c r="H33" s="308"/>
      <c r="I33" s="308">
        <f>'Biểu 08'!E37/1000</f>
        <v>1709</v>
      </c>
      <c r="J33" s="308"/>
      <c r="K33" s="308"/>
      <c r="L33" s="308"/>
      <c r="M33" s="308"/>
      <c r="N33" s="308"/>
      <c r="O33" s="308"/>
      <c r="P33" s="309"/>
    </row>
    <row r="34" spans="1:16" s="299" customFormat="1" ht="18.75" customHeight="1">
      <c r="A34" s="289" t="s">
        <v>101</v>
      </c>
      <c r="B34" s="290" t="s">
        <v>574</v>
      </c>
      <c r="C34" s="306">
        <f aca="true" t="shared" si="9" ref="C34:P34">SUM(C35:C40)</f>
        <v>29884.660000000003</v>
      </c>
      <c r="D34" s="306">
        <f t="shared" si="9"/>
        <v>0</v>
      </c>
      <c r="E34" s="306">
        <f t="shared" si="9"/>
        <v>0</v>
      </c>
      <c r="F34" s="306">
        <f t="shared" si="9"/>
        <v>0</v>
      </c>
      <c r="G34" s="306">
        <f t="shared" si="9"/>
        <v>29884.660000000003</v>
      </c>
      <c r="H34" s="306">
        <f t="shared" si="9"/>
        <v>0</v>
      </c>
      <c r="I34" s="306">
        <f t="shared" si="9"/>
        <v>0</v>
      </c>
      <c r="J34" s="306">
        <f>SUM(J35:J40)</f>
        <v>29884.660000000003</v>
      </c>
      <c r="K34" s="306">
        <f t="shared" si="9"/>
        <v>0</v>
      </c>
      <c r="L34" s="306">
        <f t="shared" si="9"/>
        <v>0</v>
      </c>
      <c r="M34" s="306">
        <f t="shared" si="9"/>
        <v>0</v>
      </c>
      <c r="N34" s="306">
        <f t="shared" si="9"/>
        <v>0</v>
      </c>
      <c r="O34" s="306">
        <f t="shared" si="9"/>
        <v>0</v>
      </c>
      <c r="P34" s="307">
        <f t="shared" si="9"/>
        <v>0</v>
      </c>
    </row>
    <row r="35" spans="1:16" s="300" customFormat="1" ht="18.75" customHeight="1">
      <c r="A35" s="291">
        <v>1</v>
      </c>
      <c r="B35" s="292" t="s">
        <v>209</v>
      </c>
      <c r="C35" s="308">
        <f aca="true" t="shared" si="10" ref="C35:C40">D35+G35</f>
        <v>11209.7</v>
      </c>
      <c r="D35" s="308"/>
      <c r="E35" s="308"/>
      <c r="F35" s="308"/>
      <c r="G35" s="308">
        <f aca="true" t="shared" si="11" ref="G35:G40">SUM(H35:P35)</f>
        <v>11209.7</v>
      </c>
      <c r="H35" s="308"/>
      <c r="I35" s="308"/>
      <c r="J35" s="308">
        <f>'Biểu 09'!E9/1000</f>
        <v>11209.7</v>
      </c>
      <c r="K35" s="308"/>
      <c r="L35" s="308"/>
      <c r="M35" s="308"/>
      <c r="N35" s="308"/>
      <c r="O35" s="308"/>
      <c r="P35" s="309"/>
    </row>
    <row r="36" spans="1:16" s="300" customFormat="1" ht="18.75" customHeight="1">
      <c r="A36" s="291">
        <v>2</v>
      </c>
      <c r="B36" s="292" t="s">
        <v>219</v>
      </c>
      <c r="C36" s="308">
        <f t="shared" si="10"/>
        <v>4652.76</v>
      </c>
      <c r="D36" s="308"/>
      <c r="E36" s="308"/>
      <c r="F36" s="308"/>
      <c r="G36" s="308">
        <f t="shared" si="11"/>
        <v>4652.76</v>
      </c>
      <c r="H36" s="308"/>
      <c r="I36" s="308"/>
      <c r="J36" s="308">
        <f>'Biểu 09'!E14/1000</f>
        <v>4652.76</v>
      </c>
      <c r="K36" s="308"/>
      <c r="L36" s="308"/>
      <c r="M36" s="308"/>
      <c r="N36" s="308"/>
      <c r="O36" s="308"/>
      <c r="P36" s="309"/>
    </row>
    <row r="37" spans="1:16" s="300" customFormat="1" ht="18.75" customHeight="1">
      <c r="A37" s="291">
        <v>3</v>
      </c>
      <c r="B37" s="292" t="s">
        <v>174</v>
      </c>
      <c r="C37" s="308">
        <f t="shared" si="10"/>
        <v>12909.2</v>
      </c>
      <c r="D37" s="308"/>
      <c r="E37" s="308"/>
      <c r="F37" s="308"/>
      <c r="G37" s="308">
        <f t="shared" si="11"/>
        <v>12909.2</v>
      </c>
      <c r="H37" s="308"/>
      <c r="I37" s="308"/>
      <c r="J37" s="308">
        <f>'Biểu 09'!E19/1000</f>
        <v>12909.2</v>
      </c>
      <c r="K37" s="308"/>
      <c r="L37" s="308"/>
      <c r="M37" s="308"/>
      <c r="N37" s="308"/>
      <c r="O37" s="308"/>
      <c r="P37" s="309"/>
    </row>
    <row r="38" spans="1:16" s="300" customFormat="1" ht="18.75" customHeight="1">
      <c r="A38" s="291">
        <v>4</v>
      </c>
      <c r="B38" s="288" t="s">
        <v>575</v>
      </c>
      <c r="C38" s="308">
        <f t="shared" si="10"/>
        <v>413</v>
      </c>
      <c r="D38" s="308"/>
      <c r="E38" s="308"/>
      <c r="F38" s="308"/>
      <c r="G38" s="308">
        <f t="shared" si="11"/>
        <v>413</v>
      </c>
      <c r="H38" s="308"/>
      <c r="I38" s="308"/>
      <c r="J38" s="308">
        <f>'Biểu 09'!E23/1000</f>
        <v>413</v>
      </c>
      <c r="K38" s="308"/>
      <c r="L38" s="308"/>
      <c r="M38" s="308"/>
      <c r="N38" s="308"/>
      <c r="O38" s="308"/>
      <c r="P38" s="309"/>
    </row>
    <row r="39" spans="1:16" s="300" customFormat="1" ht="30.75" customHeight="1">
      <c r="A39" s="291">
        <v>5</v>
      </c>
      <c r="B39" s="292" t="s">
        <v>485</v>
      </c>
      <c r="C39" s="308">
        <f t="shared" si="10"/>
        <v>400</v>
      </c>
      <c r="D39" s="308"/>
      <c r="E39" s="308"/>
      <c r="F39" s="308"/>
      <c r="G39" s="308">
        <f t="shared" si="11"/>
        <v>400</v>
      </c>
      <c r="H39" s="308"/>
      <c r="I39" s="308">
        <f>'Biểu 08'!E43/1000</f>
        <v>0</v>
      </c>
      <c r="J39" s="308">
        <f>'Biểu 09'!E24/1000</f>
        <v>400</v>
      </c>
      <c r="K39" s="308"/>
      <c r="L39" s="308"/>
      <c r="M39" s="308"/>
      <c r="N39" s="308"/>
      <c r="O39" s="308"/>
      <c r="P39" s="309"/>
    </row>
    <row r="40" spans="1:16" s="300" customFormat="1" ht="18.75" customHeight="1">
      <c r="A40" s="291">
        <v>6</v>
      </c>
      <c r="B40" s="292" t="s">
        <v>446</v>
      </c>
      <c r="C40" s="308">
        <f t="shared" si="10"/>
        <v>300</v>
      </c>
      <c r="D40" s="308"/>
      <c r="E40" s="308"/>
      <c r="F40" s="308"/>
      <c r="G40" s="308">
        <f t="shared" si="11"/>
        <v>300</v>
      </c>
      <c r="H40" s="308"/>
      <c r="I40" s="308"/>
      <c r="J40" s="308">
        <f>'Biểu 09'!E26/1000</f>
        <v>300</v>
      </c>
      <c r="K40" s="308"/>
      <c r="L40" s="308"/>
      <c r="M40" s="308"/>
      <c r="N40" s="308"/>
      <c r="O40" s="308"/>
      <c r="P40" s="309"/>
    </row>
    <row r="41" spans="1:16" s="299" customFormat="1" ht="18.75" customHeight="1">
      <c r="A41" s="289" t="s">
        <v>168</v>
      </c>
      <c r="B41" s="290" t="s">
        <v>576</v>
      </c>
      <c r="C41" s="306">
        <f aca="true" t="shared" si="12" ref="C41:P41">SUM(C42:C46)</f>
        <v>3055</v>
      </c>
      <c r="D41" s="306">
        <f t="shared" si="12"/>
        <v>0</v>
      </c>
      <c r="E41" s="306">
        <f t="shared" si="12"/>
        <v>0</v>
      </c>
      <c r="F41" s="306">
        <f t="shared" si="12"/>
        <v>0</v>
      </c>
      <c r="G41" s="306">
        <f t="shared" si="12"/>
        <v>3055</v>
      </c>
      <c r="H41" s="306">
        <f t="shared" si="12"/>
        <v>0</v>
      </c>
      <c r="I41" s="306">
        <f t="shared" si="12"/>
        <v>0</v>
      </c>
      <c r="J41" s="306">
        <f t="shared" si="12"/>
        <v>0</v>
      </c>
      <c r="K41" s="306">
        <f>SUM(K42:K46)</f>
        <v>3055</v>
      </c>
      <c r="L41" s="306">
        <f t="shared" si="12"/>
        <v>0</v>
      </c>
      <c r="M41" s="306">
        <f t="shared" si="12"/>
        <v>0</v>
      </c>
      <c r="N41" s="306">
        <f t="shared" si="12"/>
        <v>0</v>
      </c>
      <c r="O41" s="306">
        <f t="shared" si="12"/>
        <v>0</v>
      </c>
      <c r="P41" s="307">
        <f t="shared" si="12"/>
        <v>0</v>
      </c>
    </row>
    <row r="42" spans="1:16" s="300" customFormat="1" ht="18.75" customHeight="1">
      <c r="A42" s="291">
        <v>1</v>
      </c>
      <c r="B42" s="288" t="s">
        <v>271</v>
      </c>
      <c r="C42" s="308">
        <f aca="true" t="shared" si="13" ref="C42:C105">D42+G42</f>
        <v>2180</v>
      </c>
      <c r="D42" s="308"/>
      <c r="E42" s="308"/>
      <c r="F42" s="308"/>
      <c r="G42" s="308">
        <f>SUM(H42:P42)</f>
        <v>2180</v>
      </c>
      <c r="H42" s="308"/>
      <c r="I42" s="308"/>
      <c r="J42" s="308"/>
      <c r="K42" s="308">
        <f>'Biểu 10'!E11/1000</f>
        <v>2180</v>
      </c>
      <c r="L42" s="308"/>
      <c r="M42" s="308"/>
      <c r="N42" s="308"/>
      <c r="O42" s="308"/>
      <c r="P42" s="309"/>
    </row>
    <row r="43" spans="1:16" s="300" customFormat="1" ht="18.75" customHeight="1">
      <c r="A43" s="291">
        <v>2</v>
      </c>
      <c r="B43" s="288" t="s">
        <v>281</v>
      </c>
      <c r="C43" s="308">
        <f t="shared" si="13"/>
        <v>100</v>
      </c>
      <c r="D43" s="308"/>
      <c r="E43" s="308"/>
      <c r="F43" s="308"/>
      <c r="G43" s="308">
        <f>SUM(H43:P43)</f>
        <v>100</v>
      </c>
      <c r="H43" s="308"/>
      <c r="I43" s="308"/>
      <c r="J43" s="308"/>
      <c r="K43" s="308">
        <f>'Biểu 10'!E17/1000</f>
        <v>100</v>
      </c>
      <c r="L43" s="308"/>
      <c r="M43" s="308"/>
      <c r="N43" s="308"/>
      <c r="O43" s="308"/>
      <c r="P43" s="309"/>
    </row>
    <row r="44" spans="1:16" s="300" customFormat="1" ht="18.75" customHeight="1">
      <c r="A44" s="291">
        <v>3</v>
      </c>
      <c r="B44" s="288" t="s">
        <v>453</v>
      </c>
      <c r="C44" s="308">
        <f t="shared" si="13"/>
        <v>650</v>
      </c>
      <c r="D44" s="308"/>
      <c r="E44" s="308"/>
      <c r="F44" s="308"/>
      <c r="G44" s="308">
        <f>SUM(H44:P44)</f>
        <v>650</v>
      </c>
      <c r="H44" s="308"/>
      <c r="I44" s="308"/>
      <c r="J44" s="308"/>
      <c r="K44" s="308">
        <f>'Biểu 10'!E18/1000</f>
        <v>650</v>
      </c>
      <c r="L44" s="308"/>
      <c r="M44" s="308"/>
      <c r="N44" s="308"/>
      <c r="O44" s="308"/>
      <c r="P44" s="309"/>
    </row>
    <row r="45" spans="1:16" s="300" customFormat="1" ht="18.75" customHeight="1">
      <c r="A45" s="291">
        <v>4</v>
      </c>
      <c r="B45" s="292" t="s">
        <v>160</v>
      </c>
      <c r="C45" s="308">
        <f t="shared" si="13"/>
        <v>35</v>
      </c>
      <c r="D45" s="308"/>
      <c r="E45" s="308"/>
      <c r="F45" s="308"/>
      <c r="G45" s="308">
        <f>SUM(H45:P45)</f>
        <v>35</v>
      </c>
      <c r="H45" s="308"/>
      <c r="I45" s="308"/>
      <c r="J45" s="308"/>
      <c r="K45" s="308">
        <f>'Biểu 10'!E19/1000</f>
        <v>35</v>
      </c>
      <c r="L45" s="308"/>
      <c r="M45" s="308"/>
      <c r="N45" s="308"/>
      <c r="O45" s="308"/>
      <c r="P45" s="309"/>
    </row>
    <row r="46" spans="1:16" s="300" customFormat="1" ht="18.75" customHeight="1">
      <c r="A46" s="291">
        <v>5</v>
      </c>
      <c r="B46" s="292" t="s">
        <v>446</v>
      </c>
      <c r="C46" s="308">
        <f t="shared" si="13"/>
        <v>90</v>
      </c>
      <c r="D46" s="308"/>
      <c r="E46" s="308"/>
      <c r="F46" s="308"/>
      <c r="G46" s="308">
        <f>SUM(H46:P46)</f>
        <v>90</v>
      </c>
      <c r="H46" s="308"/>
      <c r="I46" s="308"/>
      <c r="J46" s="308"/>
      <c r="K46" s="308">
        <f>'Biểu 10'!E20/1000</f>
        <v>90</v>
      </c>
      <c r="L46" s="308"/>
      <c r="M46" s="308"/>
      <c r="N46" s="308"/>
      <c r="O46" s="308"/>
      <c r="P46" s="309"/>
    </row>
    <row r="47" spans="1:16" s="299" customFormat="1" ht="18.75" customHeight="1">
      <c r="A47" s="289" t="s">
        <v>169</v>
      </c>
      <c r="B47" s="290" t="s">
        <v>577</v>
      </c>
      <c r="C47" s="306">
        <f aca="true" t="shared" si="14" ref="C47:L47">SUM(C48:C50)</f>
        <v>2210</v>
      </c>
      <c r="D47" s="306">
        <f t="shared" si="14"/>
        <v>0</v>
      </c>
      <c r="E47" s="306">
        <f t="shared" si="14"/>
        <v>0</v>
      </c>
      <c r="F47" s="306">
        <f t="shared" si="14"/>
        <v>0</v>
      </c>
      <c r="G47" s="306">
        <f t="shared" si="14"/>
        <v>2210</v>
      </c>
      <c r="H47" s="306">
        <f t="shared" si="14"/>
        <v>0</v>
      </c>
      <c r="I47" s="306">
        <f t="shared" si="14"/>
        <v>0</v>
      </c>
      <c r="J47" s="306">
        <f t="shared" si="14"/>
        <v>0</v>
      </c>
      <c r="K47" s="306">
        <f t="shared" si="14"/>
        <v>2210</v>
      </c>
      <c r="L47" s="306">
        <f t="shared" si="14"/>
        <v>0</v>
      </c>
      <c r="M47" s="306">
        <f>SUM(M48:M49)</f>
        <v>0</v>
      </c>
      <c r="N47" s="306">
        <f>SUM(N48:N49)</f>
        <v>0</v>
      </c>
      <c r="O47" s="306">
        <f>SUM(O48:O49)</f>
        <v>0</v>
      </c>
      <c r="P47" s="307">
        <f>SUM(P48:P49)</f>
        <v>0</v>
      </c>
    </row>
    <row r="48" spans="1:16" s="300" customFormat="1" ht="18.75" customHeight="1">
      <c r="A48" s="291">
        <v>1</v>
      </c>
      <c r="B48" s="288" t="s">
        <v>272</v>
      </c>
      <c r="C48" s="308">
        <f t="shared" si="13"/>
        <v>2145</v>
      </c>
      <c r="D48" s="308"/>
      <c r="E48" s="308"/>
      <c r="F48" s="308"/>
      <c r="G48" s="308">
        <f>SUM(H48:P48)</f>
        <v>2145</v>
      </c>
      <c r="H48" s="308"/>
      <c r="I48" s="308"/>
      <c r="J48" s="308"/>
      <c r="K48" s="308">
        <f>'Biểu 10'!E22/1000</f>
        <v>2145</v>
      </c>
      <c r="L48" s="308"/>
      <c r="M48" s="308"/>
      <c r="N48" s="308"/>
      <c r="O48" s="308"/>
      <c r="P48" s="309"/>
    </row>
    <row r="49" spans="1:16" s="300" customFormat="1" ht="19.5" customHeight="1">
      <c r="A49" s="291">
        <v>2</v>
      </c>
      <c r="B49" s="292" t="s">
        <v>160</v>
      </c>
      <c r="C49" s="308">
        <f t="shared" si="13"/>
        <v>25</v>
      </c>
      <c r="D49" s="308"/>
      <c r="E49" s="308"/>
      <c r="F49" s="308"/>
      <c r="G49" s="308">
        <f>SUM(H49:P49)</f>
        <v>25</v>
      </c>
      <c r="H49" s="308"/>
      <c r="I49" s="308"/>
      <c r="J49" s="308"/>
      <c r="K49" s="308">
        <f>'Biểu 10'!E24/1000</f>
        <v>25</v>
      </c>
      <c r="L49" s="308"/>
      <c r="M49" s="308"/>
      <c r="N49" s="308"/>
      <c r="O49" s="308"/>
      <c r="P49" s="309"/>
    </row>
    <row r="50" spans="1:16" s="300" customFormat="1" ht="19.5" customHeight="1">
      <c r="A50" s="291">
        <v>3</v>
      </c>
      <c r="B50" s="292" t="s">
        <v>446</v>
      </c>
      <c r="C50" s="308">
        <f t="shared" si="13"/>
        <v>40</v>
      </c>
      <c r="D50" s="308"/>
      <c r="E50" s="308"/>
      <c r="F50" s="308"/>
      <c r="G50" s="308">
        <f>SUM(H50:P50)</f>
        <v>40</v>
      </c>
      <c r="H50" s="308"/>
      <c r="I50" s="308"/>
      <c r="J50" s="308"/>
      <c r="K50" s="308">
        <f>'Biểu 10'!E25/1000</f>
        <v>40</v>
      </c>
      <c r="L50" s="308"/>
      <c r="M50" s="308"/>
      <c r="N50" s="308"/>
      <c r="O50" s="308"/>
      <c r="P50" s="309"/>
    </row>
    <row r="51" spans="1:16" s="300" customFormat="1" ht="18.75" customHeight="1">
      <c r="A51" s="289" t="s">
        <v>171</v>
      </c>
      <c r="B51" s="293" t="s">
        <v>125</v>
      </c>
      <c r="C51" s="306">
        <f aca="true" t="shared" si="15" ref="C51:P51">SUM(C52:C63)</f>
        <v>24342</v>
      </c>
      <c r="D51" s="306">
        <f t="shared" si="15"/>
        <v>0</v>
      </c>
      <c r="E51" s="306">
        <f t="shared" si="15"/>
        <v>0</v>
      </c>
      <c r="F51" s="306">
        <f t="shared" si="15"/>
        <v>0</v>
      </c>
      <c r="G51" s="306">
        <f t="shared" si="15"/>
        <v>24342</v>
      </c>
      <c r="H51" s="306">
        <f t="shared" si="15"/>
        <v>0</v>
      </c>
      <c r="I51" s="306">
        <f t="shared" si="15"/>
        <v>0</v>
      </c>
      <c r="J51" s="306">
        <f t="shared" si="15"/>
        <v>0</v>
      </c>
      <c r="K51" s="306">
        <f t="shared" si="15"/>
        <v>0</v>
      </c>
      <c r="L51" s="306">
        <f t="shared" si="15"/>
        <v>0</v>
      </c>
      <c r="M51" s="306">
        <f t="shared" si="15"/>
        <v>24342</v>
      </c>
      <c r="N51" s="306">
        <f t="shared" si="15"/>
        <v>0</v>
      </c>
      <c r="O51" s="306">
        <f t="shared" si="15"/>
        <v>0</v>
      </c>
      <c r="P51" s="307">
        <f t="shared" si="15"/>
        <v>0</v>
      </c>
    </row>
    <row r="52" spans="1:16" s="300" customFormat="1" ht="18.75" customHeight="1">
      <c r="A52" s="291">
        <v>1</v>
      </c>
      <c r="B52" s="288" t="s">
        <v>177</v>
      </c>
      <c r="C52" s="308">
        <f t="shared" si="13"/>
        <v>3131</v>
      </c>
      <c r="D52" s="308"/>
      <c r="E52" s="308"/>
      <c r="F52" s="308"/>
      <c r="G52" s="308">
        <f aca="true" t="shared" si="16" ref="G52:G61">SUM(H52:P52)</f>
        <v>3131</v>
      </c>
      <c r="H52" s="308"/>
      <c r="I52" s="308"/>
      <c r="J52" s="308"/>
      <c r="K52" s="308"/>
      <c r="L52" s="308"/>
      <c r="M52" s="308">
        <f>('Biểu 11'!E10+'Biểu 11'!E11)/1000</f>
        <v>3131</v>
      </c>
      <c r="N52" s="308"/>
      <c r="O52" s="308"/>
      <c r="P52" s="309"/>
    </row>
    <row r="53" spans="1:16" s="300" customFormat="1" ht="18.75" customHeight="1">
      <c r="A53" s="291">
        <v>2</v>
      </c>
      <c r="B53" s="288" t="s">
        <v>578</v>
      </c>
      <c r="C53" s="308">
        <f t="shared" si="13"/>
        <v>10290</v>
      </c>
      <c r="D53" s="308"/>
      <c r="E53" s="308"/>
      <c r="F53" s="308"/>
      <c r="G53" s="308">
        <f t="shared" si="16"/>
        <v>10290</v>
      </c>
      <c r="H53" s="308"/>
      <c r="I53" s="308"/>
      <c r="J53" s="308"/>
      <c r="K53" s="308"/>
      <c r="L53" s="308"/>
      <c r="M53" s="308">
        <f>'Biểu 11'!E14/1000</f>
        <v>10290</v>
      </c>
      <c r="N53" s="308"/>
      <c r="O53" s="308"/>
      <c r="P53" s="309"/>
    </row>
    <row r="54" spans="1:16" s="300" customFormat="1" ht="20.25" customHeight="1">
      <c r="A54" s="291">
        <v>3</v>
      </c>
      <c r="B54" s="288" t="s">
        <v>278</v>
      </c>
      <c r="C54" s="308">
        <f t="shared" si="13"/>
        <v>2600</v>
      </c>
      <c r="D54" s="308"/>
      <c r="E54" s="308"/>
      <c r="F54" s="308"/>
      <c r="G54" s="308">
        <f t="shared" si="16"/>
        <v>2600</v>
      </c>
      <c r="H54" s="308"/>
      <c r="I54" s="308"/>
      <c r="J54" s="308"/>
      <c r="K54" s="308"/>
      <c r="L54" s="308"/>
      <c r="M54" s="308">
        <f>'Biểu 11'!E22/1000</f>
        <v>2600</v>
      </c>
      <c r="N54" s="308"/>
      <c r="O54" s="308"/>
      <c r="P54" s="309"/>
    </row>
    <row r="55" spans="1:16" s="300" customFormat="1" ht="18.75" customHeight="1">
      <c r="A55" s="291">
        <v>4</v>
      </c>
      <c r="B55" s="288" t="s">
        <v>237</v>
      </c>
      <c r="C55" s="308">
        <f t="shared" si="13"/>
        <v>1760</v>
      </c>
      <c r="D55" s="308"/>
      <c r="E55" s="308"/>
      <c r="F55" s="308"/>
      <c r="G55" s="308">
        <f t="shared" si="16"/>
        <v>1760</v>
      </c>
      <c r="H55" s="308"/>
      <c r="I55" s="308"/>
      <c r="J55" s="308"/>
      <c r="K55" s="308"/>
      <c r="L55" s="308"/>
      <c r="M55" s="308">
        <f>'Biểu 11'!E27/1000</f>
        <v>1760</v>
      </c>
      <c r="N55" s="308"/>
      <c r="O55" s="308"/>
      <c r="P55" s="309"/>
    </row>
    <row r="56" spans="1:16" s="300" customFormat="1" ht="31.5" customHeight="1">
      <c r="A56" s="291">
        <v>5</v>
      </c>
      <c r="B56" s="288" t="s">
        <v>579</v>
      </c>
      <c r="C56" s="308">
        <f t="shared" si="13"/>
        <v>250</v>
      </c>
      <c r="D56" s="308"/>
      <c r="E56" s="308"/>
      <c r="F56" s="308"/>
      <c r="G56" s="308">
        <f>SUM(H56:P56)</f>
        <v>250</v>
      </c>
      <c r="H56" s="308"/>
      <c r="I56" s="308"/>
      <c r="J56" s="308"/>
      <c r="K56" s="308"/>
      <c r="L56" s="308"/>
      <c r="M56" s="308">
        <f>'Biểu 11'!E21/1000</f>
        <v>250</v>
      </c>
      <c r="N56" s="308"/>
      <c r="O56" s="308"/>
      <c r="P56" s="309"/>
    </row>
    <row r="57" spans="1:16" s="300" customFormat="1" ht="23.25" customHeight="1">
      <c r="A57" s="291">
        <v>6</v>
      </c>
      <c r="B57" s="288" t="s">
        <v>464</v>
      </c>
      <c r="C57" s="308">
        <f t="shared" si="13"/>
        <v>5142</v>
      </c>
      <c r="D57" s="308"/>
      <c r="E57" s="308"/>
      <c r="F57" s="308"/>
      <c r="G57" s="308">
        <f>SUM(H57:P57)</f>
        <v>5142</v>
      </c>
      <c r="H57" s="308"/>
      <c r="I57" s="308"/>
      <c r="J57" s="308"/>
      <c r="K57" s="308"/>
      <c r="L57" s="308"/>
      <c r="M57" s="308">
        <f>'Biểu 11'!E26/1000</f>
        <v>5142</v>
      </c>
      <c r="N57" s="308"/>
      <c r="O57" s="308"/>
      <c r="P57" s="309"/>
    </row>
    <row r="58" spans="1:16" s="300" customFormat="1" ht="20.25" customHeight="1">
      <c r="A58" s="291">
        <v>7</v>
      </c>
      <c r="B58" s="288" t="s">
        <v>580</v>
      </c>
      <c r="C58" s="308">
        <f t="shared" si="13"/>
        <v>100</v>
      </c>
      <c r="D58" s="308"/>
      <c r="E58" s="308"/>
      <c r="F58" s="308"/>
      <c r="G58" s="308">
        <f>SUM(H58:P58)</f>
        <v>100</v>
      </c>
      <c r="H58" s="308"/>
      <c r="I58" s="308"/>
      <c r="J58" s="308"/>
      <c r="K58" s="308"/>
      <c r="L58" s="308"/>
      <c r="M58" s="308">
        <f>'Biểu 11'!E24/1000</f>
        <v>100</v>
      </c>
      <c r="N58" s="308"/>
      <c r="O58" s="308"/>
      <c r="P58" s="309"/>
    </row>
    <row r="59" spans="1:16" s="300" customFormat="1" ht="20.25" customHeight="1">
      <c r="A59" s="291">
        <v>8</v>
      </c>
      <c r="B59" s="288" t="s">
        <v>581</v>
      </c>
      <c r="C59" s="308">
        <f t="shared" si="13"/>
        <v>550</v>
      </c>
      <c r="D59" s="308"/>
      <c r="E59" s="308"/>
      <c r="F59" s="308"/>
      <c r="G59" s="308">
        <f t="shared" si="16"/>
        <v>550</v>
      </c>
      <c r="H59" s="308"/>
      <c r="I59" s="308"/>
      <c r="J59" s="308"/>
      <c r="K59" s="308"/>
      <c r="L59" s="308"/>
      <c r="M59" s="308">
        <f>'Biểu 11'!E28/1000</f>
        <v>550</v>
      </c>
      <c r="N59" s="308"/>
      <c r="O59" s="308"/>
      <c r="P59" s="309"/>
    </row>
    <row r="60" spans="1:16" s="300" customFormat="1" ht="18.75" customHeight="1">
      <c r="A60" s="291">
        <v>9</v>
      </c>
      <c r="B60" s="288" t="s">
        <v>308</v>
      </c>
      <c r="C60" s="308">
        <f t="shared" si="13"/>
        <v>30</v>
      </c>
      <c r="D60" s="308"/>
      <c r="E60" s="308"/>
      <c r="F60" s="308"/>
      <c r="G60" s="308">
        <f t="shared" si="16"/>
        <v>30</v>
      </c>
      <c r="H60" s="308"/>
      <c r="I60" s="308"/>
      <c r="J60" s="308"/>
      <c r="K60" s="308"/>
      <c r="L60" s="308"/>
      <c r="M60" s="308">
        <f>'Biểu 11'!E29/1000</f>
        <v>30</v>
      </c>
      <c r="N60" s="308"/>
      <c r="O60" s="308"/>
      <c r="P60" s="309"/>
    </row>
    <row r="61" spans="1:16" s="300" customFormat="1" ht="18.75" customHeight="1">
      <c r="A61" s="291">
        <v>10</v>
      </c>
      <c r="B61" s="288" t="s">
        <v>273</v>
      </c>
      <c r="C61" s="308">
        <f t="shared" si="13"/>
        <v>464</v>
      </c>
      <c r="D61" s="308"/>
      <c r="E61" s="308"/>
      <c r="F61" s="308"/>
      <c r="G61" s="308">
        <f t="shared" si="16"/>
        <v>464</v>
      </c>
      <c r="H61" s="308"/>
      <c r="I61" s="308"/>
      <c r="J61" s="308"/>
      <c r="K61" s="308"/>
      <c r="L61" s="308"/>
      <c r="M61" s="308">
        <f>'Biểu 11'!E30/1000</f>
        <v>464</v>
      </c>
      <c r="N61" s="308"/>
      <c r="O61" s="308"/>
      <c r="P61" s="309"/>
    </row>
    <row r="62" spans="1:16" s="300" customFormat="1" ht="19.5" customHeight="1">
      <c r="A62" s="291">
        <v>11</v>
      </c>
      <c r="B62" s="292" t="s">
        <v>160</v>
      </c>
      <c r="C62" s="308">
        <f t="shared" si="13"/>
        <v>10</v>
      </c>
      <c r="D62" s="308"/>
      <c r="E62" s="308"/>
      <c r="F62" s="308"/>
      <c r="G62" s="308">
        <f>SUM(H62:P62)</f>
        <v>10</v>
      </c>
      <c r="H62" s="308"/>
      <c r="I62" s="308"/>
      <c r="J62" s="308"/>
      <c r="K62" s="308">
        <f>'Biểu 10'!E35/1000</f>
        <v>0</v>
      </c>
      <c r="L62" s="308"/>
      <c r="M62" s="308">
        <f>'Biểu 11'!E12/1000</f>
        <v>10</v>
      </c>
      <c r="N62" s="308"/>
      <c r="O62" s="308"/>
      <c r="P62" s="309"/>
    </row>
    <row r="63" spans="1:16" s="300" customFormat="1" ht="19.5" customHeight="1">
      <c r="A63" s="291">
        <v>12</v>
      </c>
      <c r="B63" s="292" t="s">
        <v>446</v>
      </c>
      <c r="C63" s="308">
        <f t="shared" si="13"/>
        <v>15</v>
      </c>
      <c r="D63" s="308"/>
      <c r="E63" s="308"/>
      <c r="F63" s="308"/>
      <c r="G63" s="308">
        <f>SUM(H63:P63)</f>
        <v>15</v>
      </c>
      <c r="H63" s="308"/>
      <c r="I63" s="308"/>
      <c r="J63" s="308"/>
      <c r="K63" s="308">
        <f>'Biểu 10'!E36/1000</f>
        <v>0</v>
      </c>
      <c r="L63" s="308"/>
      <c r="M63" s="308">
        <f>'Biểu 11'!E13/1000</f>
        <v>15</v>
      </c>
      <c r="N63" s="308"/>
      <c r="O63" s="308"/>
      <c r="P63" s="309"/>
    </row>
    <row r="64" spans="1:16" s="299" customFormat="1" ht="18.75" customHeight="1">
      <c r="A64" s="285" t="s">
        <v>172</v>
      </c>
      <c r="B64" s="290" t="s">
        <v>582</v>
      </c>
      <c r="C64" s="306">
        <f aca="true" t="shared" si="17" ref="C64:H64">SUM(C65:C78)</f>
        <v>13225</v>
      </c>
      <c r="D64" s="306">
        <f t="shared" si="17"/>
        <v>0</v>
      </c>
      <c r="E64" s="306">
        <f t="shared" si="17"/>
        <v>0</v>
      </c>
      <c r="F64" s="306">
        <f t="shared" si="17"/>
        <v>0</v>
      </c>
      <c r="G64" s="306">
        <f t="shared" si="17"/>
        <v>13225</v>
      </c>
      <c r="H64" s="306">
        <f t="shared" si="17"/>
        <v>13225</v>
      </c>
      <c r="I64" s="306">
        <f aca="true" t="shared" si="18" ref="I64:P64">SUM(I65:I77)</f>
        <v>0</v>
      </c>
      <c r="J64" s="306">
        <f t="shared" si="18"/>
        <v>0</v>
      </c>
      <c r="K64" s="306">
        <f t="shared" si="18"/>
        <v>0</v>
      </c>
      <c r="L64" s="306">
        <f t="shared" si="18"/>
        <v>0</v>
      </c>
      <c r="M64" s="306">
        <f t="shared" si="18"/>
        <v>0</v>
      </c>
      <c r="N64" s="306">
        <f t="shared" si="18"/>
        <v>0</v>
      </c>
      <c r="O64" s="306">
        <f t="shared" si="18"/>
        <v>0</v>
      </c>
      <c r="P64" s="307">
        <f t="shared" si="18"/>
        <v>0</v>
      </c>
    </row>
    <row r="65" spans="1:16" s="300" customFormat="1" ht="18.75" customHeight="1">
      <c r="A65" s="291">
        <v>1</v>
      </c>
      <c r="B65" s="292" t="s">
        <v>198</v>
      </c>
      <c r="C65" s="308">
        <f t="shared" si="13"/>
        <v>4444.64</v>
      </c>
      <c r="D65" s="308"/>
      <c r="E65" s="306"/>
      <c r="F65" s="308"/>
      <c r="G65" s="308">
        <f aca="true" t="shared" si="19" ref="G65:G78">SUM(H65:P65)</f>
        <v>4444.64</v>
      </c>
      <c r="H65" s="308">
        <f>'Biểu 12'!E20/1000</f>
        <v>4444.64</v>
      </c>
      <c r="I65" s="308"/>
      <c r="J65" s="308"/>
      <c r="K65" s="308"/>
      <c r="L65" s="308"/>
      <c r="M65" s="308"/>
      <c r="N65" s="308"/>
      <c r="O65" s="308"/>
      <c r="P65" s="309"/>
    </row>
    <row r="66" spans="1:16" s="300" customFormat="1" ht="18.75" customHeight="1">
      <c r="A66" s="291">
        <v>2</v>
      </c>
      <c r="B66" s="292" t="s">
        <v>199</v>
      </c>
      <c r="C66" s="308">
        <f t="shared" si="13"/>
        <v>1191</v>
      </c>
      <c r="D66" s="308"/>
      <c r="E66" s="308"/>
      <c r="F66" s="308"/>
      <c r="G66" s="308">
        <f t="shared" si="19"/>
        <v>1191</v>
      </c>
      <c r="H66" s="308">
        <f>'Biểu 12'!E29/1000</f>
        <v>1191</v>
      </c>
      <c r="I66" s="308"/>
      <c r="J66" s="308"/>
      <c r="K66" s="308"/>
      <c r="L66" s="308"/>
      <c r="M66" s="308"/>
      <c r="N66" s="308"/>
      <c r="O66" s="308"/>
      <c r="P66" s="309"/>
    </row>
    <row r="67" spans="1:16" s="300" customFormat="1" ht="18.75" customHeight="1">
      <c r="A67" s="291">
        <v>3</v>
      </c>
      <c r="B67" s="292" t="s">
        <v>200</v>
      </c>
      <c r="C67" s="308">
        <f t="shared" si="13"/>
        <v>590</v>
      </c>
      <c r="D67" s="308"/>
      <c r="E67" s="308"/>
      <c r="F67" s="308"/>
      <c r="G67" s="308">
        <f t="shared" si="19"/>
        <v>590</v>
      </c>
      <c r="H67" s="308">
        <f>'Biểu 12'!E32/1000</f>
        <v>590</v>
      </c>
      <c r="I67" s="308"/>
      <c r="J67" s="308"/>
      <c r="K67" s="308"/>
      <c r="L67" s="308"/>
      <c r="M67" s="308"/>
      <c r="N67" s="308"/>
      <c r="O67" s="308"/>
      <c r="P67" s="309"/>
    </row>
    <row r="68" spans="1:16" s="300" customFormat="1" ht="18.75" customHeight="1">
      <c r="A68" s="291">
        <v>4</v>
      </c>
      <c r="B68" s="292" t="s">
        <v>147</v>
      </c>
      <c r="C68" s="308">
        <f t="shared" si="13"/>
        <v>781</v>
      </c>
      <c r="D68" s="308"/>
      <c r="E68" s="308"/>
      <c r="F68" s="308"/>
      <c r="G68" s="308">
        <f t="shared" si="19"/>
        <v>781</v>
      </c>
      <c r="H68" s="308">
        <f>'Biểu 12'!E36/1000</f>
        <v>781</v>
      </c>
      <c r="I68" s="312"/>
      <c r="J68" s="308"/>
      <c r="K68" s="308"/>
      <c r="L68" s="308"/>
      <c r="M68" s="308"/>
      <c r="N68" s="308"/>
      <c r="O68" s="308"/>
      <c r="P68" s="309"/>
    </row>
    <row r="69" spans="1:16" s="300" customFormat="1" ht="18.75" customHeight="1">
      <c r="A69" s="291">
        <v>5</v>
      </c>
      <c r="B69" s="292" t="s">
        <v>265</v>
      </c>
      <c r="C69" s="308">
        <f t="shared" si="13"/>
        <v>815</v>
      </c>
      <c r="D69" s="308"/>
      <c r="E69" s="308"/>
      <c r="F69" s="308"/>
      <c r="G69" s="308">
        <f t="shared" si="19"/>
        <v>815</v>
      </c>
      <c r="H69" s="308">
        <f>'Biểu 12'!E39/1000</f>
        <v>815</v>
      </c>
      <c r="I69" s="308"/>
      <c r="J69" s="308"/>
      <c r="K69" s="308"/>
      <c r="L69" s="308"/>
      <c r="M69" s="308"/>
      <c r="N69" s="308"/>
      <c r="O69" s="308"/>
      <c r="P69" s="309"/>
    </row>
    <row r="70" spans="1:16" s="300" customFormat="1" ht="18.75" customHeight="1">
      <c r="A70" s="291">
        <v>6</v>
      </c>
      <c r="B70" s="292" t="s">
        <v>226</v>
      </c>
      <c r="C70" s="308">
        <f t="shared" si="13"/>
        <v>700</v>
      </c>
      <c r="D70" s="308"/>
      <c r="E70" s="308"/>
      <c r="F70" s="308"/>
      <c r="G70" s="308">
        <f t="shared" si="19"/>
        <v>700</v>
      </c>
      <c r="H70" s="308">
        <f>'Biểu 12'!E40/1000</f>
        <v>700</v>
      </c>
      <c r="I70" s="308"/>
      <c r="J70" s="308"/>
      <c r="K70" s="308"/>
      <c r="L70" s="308"/>
      <c r="M70" s="308"/>
      <c r="N70" s="308"/>
      <c r="O70" s="308"/>
      <c r="P70" s="309"/>
    </row>
    <row r="71" spans="1:16" s="300" customFormat="1" ht="18.75" customHeight="1">
      <c r="A71" s="291">
        <v>7</v>
      </c>
      <c r="B71" s="292" t="s">
        <v>151</v>
      </c>
      <c r="C71" s="308">
        <f t="shared" si="13"/>
        <v>1431</v>
      </c>
      <c r="D71" s="308"/>
      <c r="E71" s="308"/>
      <c r="F71" s="308"/>
      <c r="G71" s="308">
        <f t="shared" si="19"/>
        <v>1431</v>
      </c>
      <c r="H71" s="308">
        <f>'Biểu 12'!E41/1000</f>
        <v>1431</v>
      </c>
      <c r="I71" s="308"/>
      <c r="J71" s="308"/>
      <c r="K71" s="308"/>
      <c r="L71" s="308"/>
      <c r="M71" s="308"/>
      <c r="N71" s="308"/>
      <c r="O71" s="308"/>
      <c r="P71" s="309"/>
    </row>
    <row r="72" spans="1:16" s="300" customFormat="1" ht="18.75" customHeight="1">
      <c r="A72" s="291">
        <v>8</v>
      </c>
      <c r="B72" s="292" t="s">
        <v>366</v>
      </c>
      <c r="C72" s="308">
        <f t="shared" si="13"/>
        <v>681</v>
      </c>
      <c r="D72" s="308"/>
      <c r="E72" s="308" t="s">
        <v>138</v>
      </c>
      <c r="F72" s="308"/>
      <c r="G72" s="308">
        <f t="shared" si="19"/>
        <v>681</v>
      </c>
      <c r="H72" s="308">
        <f>'Biểu 12'!E44/1000</f>
        <v>681</v>
      </c>
      <c r="I72" s="308"/>
      <c r="J72" s="308"/>
      <c r="K72" s="308"/>
      <c r="L72" s="308"/>
      <c r="M72" s="308"/>
      <c r="N72" s="308"/>
      <c r="O72" s="308"/>
      <c r="P72" s="309"/>
    </row>
    <row r="73" spans="1:16" s="300" customFormat="1" ht="18.75" customHeight="1">
      <c r="A73" s="291">
        <v>9</v>
      </c>
      <c r="B73" s="292" t="s">
        <v>164</v>
      </c>
      <c r="C73" s="308">
        <f t="shared" si="13"/>
        <v>568</v>
      </c>
      <c r="D73" s="308"/>
      <c r="E73" s="308"/>
      <c r="F73" s="308"/>
      <c r="G73" s="308">
        <f t="shared" si="19"/>
        <v>568</v>
      </c>
      <c r="H73" s="308">
        <f>'Biểu 12'!E45/1000</f>
        <v>568</v>
      </c>
      <c r="I73" s="308"/>
      <c r="J73" s="308"/>
      <c r="K73" s="308"/>
      <c r="L73" s="308"/>
      <c r="M73" s="308"/>
      <c r="N73" s="308"/>
      <c r="O73" s="308"/>
      <c r="P73" s="309"/>
    </row>
    <row r="74" spans="1:16" s="300" customFormat="1" ht="18.75" customHeight="1">
      <c r="A74" s="291">
        <v>10</v>
      </c>
      <c r="B74" s="292" t="s">
        <v>152</v>
      </c>
      <c r="C74" s="308">
        <f t="shared" si="13"/>
        <v>436</v>
      </c>
      <c r="D74" s="308"/>
      <c r="E74" s="308"/>
      <c r="F74" s="308"/>
      <c r="G74" s="308">
        <f t="shared" si="19"/>
        <v>436</v>
      </c>
      <c r="H74" s="308">
        <f>'Biểu 12'!E46/1000</f>
        <v>436</v>
      </c>
      <c r="I74" s="308"/>
      <c r="J74" s="308"/>
      <c r="K74" s="308"/>
      <c r="L74" s="308"/>
      <c r="M74" s="308"/>
      <c r="N74" s="308"/>
      <c r="O74" s="308"/>
      <c r="P74" s="309"/>
    </row>
    <row r="75" spans="1:16" s="300" customFormat="1" ht="18.75" customHeight="1">
      <c r="A75" s="291">
        <v>11</v>
      </c>
      <c r="B75" s="292" t="s">
        <v>162</v>
      </c>
      <c r="C75" s="308">
        <f t="shared" si="13"/>
        <v>895.36</v>
      </c>
      <c r="D75" s="308"/>
      <c r="E75" s="308"/>
      <c r="F75" s="308"/>
      <c r="G75" s="308">
        <f t="shared" si="19"/>
        <v>895.36</v>
      </c>
      <c r="H75" s="308">
        <f>'Biểu 12'!E47/1000</f>
        <v>895.36</v>
      </c>
      <c r="I75" s="308"/>
      <c r="J75" s="308"/>
      <c r="K75" s="308"/>
      <c r="L75" s="308"/>
      <c r="M75" s="308"/>
      <c r="N75" s="308"/>
      <c r="O75" s="308"/>
      <c r="P75" s="309"/>
    </row>
    <row r="76" spans="1:16" s="300" customFormat="1" ht="18.75" customHeight="1">
      <c r="A76" s="291">
        <v>12</v>
      </c>
      <c r="B76" s="292" t="s">
        <v>227</v>
      </c>
      <c r="C76" s="308">
        <f t="shared" si="13"/>
        <v>452</v>
      </c>
      <c r="D76" s="308"/>
      <c r="E76" s="308"/>
      <c r="F76" s="308"/>
      <c r="G76" s="308">
        <f t="shared" si="19"/>
        <v>452</v>
      </c>
      <c r="H76" s="308">
        <f>'Biểu 12'!E50/1000</f>
        <v>452</v>
      </c>
      <c r="I76" s="308"/>
      <c r="J76" s="308"/>
      <c r="K76" s="308"/>
      <c r="L76" s="308"/>
      <c r="M76" s="308"/>
      <c r="N76" s="308"/>
      <c r="O76" s="308"/>
      <c r="P76" s="309"/>
    </row>
    <row r="77" spans="1:16" s="300" customFormat="1" ht="18.75" customHeight="1">
      <c r="A77" s="291">
        <v>13</v>
      </c>
      <c r="B77" s="292" t="s">
        <v>160</v>
      </c>
      <c r="C77" s="308">
        <f t="shared" si="13"/>
        <v>90</v>
      </c>
      <c r="D77" s="308"/>
      <c r="E77" s="308"/>
      <c r="F77" s="308"/>
      <c r="G77" s="308">
        <f t="shared" si="19"/>
        <v>90</v>
      </c>
      <c r="H77" s="308">
        <f>'Biểu 12'!E51/1000</f>
        <v>90</v>
      </c>
      <c r="I77" s="308"/>
      <c r="J77" s="308"/>
      <c r="K77" s="308"/>
      <c r="L77" s="308"/>
      <c r="M77" s="308"/>
      <c r="N77" s="308"/>
      <c r="O77" s="308"/>
      <c r="P77" s="309"/>
    </row>
    <row r="78" spans="1:16" s="300" customFormat="1" ht="19.5" customHeight="1">
      <c r="A78" s="291">
        <v>14</v>
      </c>
      <c r="B78" s="292" t="s">
        <v>446</v>
      </c>
      <c r="C78" s="308">
        <f t="shared" si="13"/>
        <v>150</v>
      </c>
      <c r="D78" s="308"/>
      <c r="E78" s="308"/>
      <c r="F78" s="308"/>
      <c r="G78" s="308">
        <f t="shared" si="19"/>
        <v>150</v>
      </c>
      <c r="H78" s="308">
        <f>'Biểu 12'!E52/1000</f>
        <v>150</v>
      </c>
      <c r="I78" s="308"/>
      <c r="J78" s="308"/>
      <c r="K78" s="308">
        <f>'Biểu 10'!E51/1000</f>
        <v>0</v>
      </c>
      <c r="L78" s="308"/>
      <c r="M78" s="308"/>
      <c r="N78" s="308"/>
      <c r="O78" s="308"/>
      <c r="P78" s="309"/>
    </row>
    <row r="79" spans="1:16" s="299" customFormat="1" ht="18.75" customHeight="1">
      <c r="A79" s="285" t="s">
        <v>173</v>
      </c>
      <c r="B79" s="290" t="s">
        <v>274</v>
      </c>
      <c r="C79" s="306">
        <f aca="true" t="shared" si="20" ref="C79:P79">SUM(C80:C82)</f>
        <v>7375</v>
      </c>
      <c r="D79" s="306">
        <f t="shared" si="20"/>
        <v>0</v>
      </c>
      <c r="E79" s="306">
        <f t="shared" si="20"/>
        <v>0</v>
      </c>
      <c r="F79" s="306">
        <f t="shared" si="20"/>
        <v>0</v>
      </c>
      <c r="G79" s="306">
        <f t="shared" si="20"/>
        <v>7375</v>
      </c>
      <c r="H79" s="306">
        <f t="shared" si="20"/>
        <v>7375</v>
      </c>
      <c r="I79" s="306">
        <f t="shared" si="20"/>
        <v>0</v>
      </c>
      <c r="J79" s="306">
        <f t="shared" si="20"/>
        <v>0</v>
      </c>
      <c r="K79" s="306">
        <f t="shared" si="20"/>
        <v>0</v>
      </c>
      <c r="L79" s="306">
        <f t="shared" si="20"/>
        <v>0</v>
      </c>
      <c r="M79" s="306">
        <f t="shared" si="20"/>
        <v>0</v>
      </c>
      <c r="N79" s="306">
        <f t="shared" si="20"/>
        <v>0</v>
      </c>
      <c r="O79" s="306">
        <f t="shared" si="20"/>
        <v>0</v>
      </c>
      <c r="P79" s="307">
        <f t="shared" si="20"/>
        <v>0</v>
      </c>
    </row>
    <row r="80" spans="1:16" s="300" customFormat="1" ht="18.75" customHeight="1">
      <c r="A80" s="291">
        <v>1</v>
      </c>
      <c r="B80" s="292" t="s">
        <v>170</v>
      </c>
      <c r="C80" s="308">
        <f t="shared" si="13"/>
        <v>7195</v>
      </c>
      <c r="D80" s="308"/>
      <c r="E80" s="308"/>
      <c r="F80" s="308"/>
      <c r="G80" s="308">
        <f aca="true" t="shared" si="21" ref="G80:G92">SUM(H80:P80)</f>
        <v>7195</v>
      </c>
      <c r="H80" s="308">
        <f>'Biểu 12'!E10/1000</f>
        <v>7195</v>
      </c>
      <c r="I80" s="308"/>
      <c r="J80" s="308"/>
      <c r="K80" s="308"/>
      <c r="L80" s="308"/>
      <c r="M80" s="308"/>
      <c r="N80" s="308"/>
      <c r="O80" s="308"/>
      <c r="P80" s="309"/>
    </row>
    <row r="81" spans="1:16" s="300" customFormat="1" ht="18.75" customHeight="1">
      <c r="A81" s="291">
        <v>2</v>
      </c>
      <c r="B81" s="292" t="s">
        <v>160</v>
      </c>
      <c r="C81" s="308">
        <f t="shared" si="13"/>
        <v>90</v>
      </c>
      <c r="D81" s="308"/>
      <c r="E81" s="308"/>
      <c r="F81" s="308"/>
      <c r="G81" s="308">
        <f t="shared" si="21"/>
        <v>90</v>
      </c>
      <c r="H81" s="308">
        <f>'Biểu 12'!E17/1000</f>
        <v>90</v>
      </c>
      <c r="I81" s="308"/>
      <c r="J81" s="308"/>
      <c r="K81" s="308"/>
      <c r="L81" s="308"/>
      <c r="M81" s="308"/>
      <c r="N81" s="308"/>
      <c r="O81" s="308"/>
      <c r="P81" s="309"/>
    </row>
    <row r="82" spans="1:16" s="300" customFormat="1" ht="18.75" customHeight="1">
      <c r="A82" s="291">
        <v>3</v>
      </c>
      <c r="B82" s="292" t="s">
        <v>446</v>
      </c>
      <c r="C82" s="308">
        <f t="shared" si="13"/>
        <v>90</v>
      </c>
      <c r="D82" s="308"/>
      <c r="E82" s="308"/>
      <c r="F82" s="308"/>
      <c r="G82" s="308">
        <f>SUM(H82:P82)</f>
        <v>90</v>
      </c>
      <c r="H82" s="308">
        <f>'Biểu 12'!E18/1000</f>
        <v>90</v>
      </c>
      <c r="I82" s="308"/>
      <c r="J82" s="308"/>
      <c r="K82" s="308"/>
      <c r="L82" s="308"/>
      <c r="M82" s="308"/>
      <c r="N82" s="308"/>
      <c r="O82" s="308"/>
      <c r="P82" s="309"/>
    </row>
    <row r="83" spans="1:16" s="299" customFormat="1" ht="18.75" customHeight="1">
      <c r="A83" s="285" t="s">
        <v>175</v>
      </c>
      <c r="B83" s="290" t="s">
        <v>211</v>
      </c>
      <c r="C83" s="306">
        <f aca="true" t="shared" si="22" ref="C83:P83">SUM(C84:C92)</f>
        <v>4080.0000000000005</v>
      </c>
      <c r="D83" s="306">
        <f t="shared" si="22"/>
        <v>0</v>
      </c>
      <c r="E83" s="306">
        <f t="shared" si="22"/>
        <v>0</v>
      </c>
      <c r="F83" s="306">
        <f t="shared" si="22"/>
        <v>0</v>
      </c>
      <c r="G83" s="306">
        <f t="shared" si="22"/>
        <v>4080.0000000000005</v>
      </c>
      <c r="H83" s="306">
        <f t="shared" si="22"/>
        <v>4080.0000000000005</v>
      </c>
      <c r="I83" s="306">
        <f t="shared" si="22"/>
        <v>0</v>
      </c>
      <c r="J83" s="306">
        <f t="shared" si="22"/>
        <v>0</v>
      </c>
      <c r="K83" s="306">
        <f t="shared" si="22"/>
        <v>0</v>
      </c>
      <c r="L83" s="306">
        <f t="shared" si="22"/>
        <v>0</v>
      </c>
      <c r="M83" s="306">
        <f t="shared" si="22"/>
        <v>0</v>
      </c>
      <c r="N83" s="306">
        <f t="shared" si="22"/>
        <v>0</v>
      </c>
      <c r="O83" s="306">
        <f t="shared" si="22"/>
        <v>0</v>
      </c>
      <c r="P83" s="307">
        <f t="shared" si="22"/>
        <v>0</v>
      </c>
    </row>
    <row r="84" spans="1:16" s="300" customFormat="1" ht="18.75" customHeight="1">
      <c r="A84" s="291">
        <v>1</v>
      </c>
      <c r="B84" s="292" t="s">
        <v>202</v>
      </c>
      <c r="C84" s="308">
        <f t="shared" si="13"/>
        <v>850.24</v>
      </c>
      <c r="D84" s="308"/>
      <c r="E84" s="308"/>
      <c r="F84" s="308"/>
      <c r="G84" s="308">
        <f t="shared" si="21"/>
        <v>850.24</v>
      </c>
      <c r="H84" s="308">
        <f>'Biểu 12'!E54/1000</f>
        <v>850.24</v>
      </c>
      <c r="I84" s="308"/>
      <c r="J84" s="308"/>
      <c r="K84" s="308"/>
      <c r="L84" s="308"/>
      <c r="M84" s="308"/>
      <c r="N84" s="308"/>
      <c r="O84" s="308"/>
      <c r="P84" s="309"/>
    </row>
    <row r="85" spans="1:16" s="300" customFormat="1" ht="18.75" customHeight="1">
      <c r="A85" s="291">
        <v>2</v>
      </c>
      <c r="B85" s="292" t="s">
        <v>203</v>
      </c>
      <c r="C85" s="308">
        <f t="shared" si="13"/>
        <v>719.16</v>
      </c>
      <c r="D85" s="308"/>
      <c r="E85" s="308"/>
      <c r="F85" s="308"/>
      <c r="G85" s="308">
        <f t="shared" si="21"/>
        <v>719.16</v>
      </c>
      <c r="H85" s="308">
        <f>'Biểu 12'!E60/1000</f>
        <v>719.16</v>
      </c>
      <c r="I85" s="308"/>
      <c r="J85" s="308"/>
      <c r="K85" s="308"/>
      <c r="L85" s="308"/>
      <c r="M85" s="308"/>
      <c r="N85" s="308"/>
      <c r="O85" s="308"/>
      <c r="P85" s="309"/>
    </row>
    <row r="86" spans="1:16" s="300" customFormat="1" ht="18.75" customHeight="1">
      <c r="A86" s="291">
        <v>3</v>
      </c>
      <c r="B86" s="292" t="s">
        <v>204</v>
      </c>
      <c r="C86" s="308">
        <f t="shared" si="13"/>
        <v>850.95</v>
      </c>
      <c r="D86" s="308"/>
      <c r="E86" s="308"/>
      <c r="F86" s="308"/>
      <c r="G86" s="308">
        <f t="shared" si="21"/>
        <v>850.95</v>
      </c>
      <c r="H86" s="308">
        <f>'Biểu 12'!E72/1000</f>
        <v>850.95</v>
      </c>
      <c r="I86" s="308"/>
      <c r="J86" s="308"/>
      <c r="K86" s="308"/>
      <c r="L86" s="308"/>
      <c r="M86" s="308"/>
      <c r="N86" s="308"/>
      <c r="O86" s="308"/>
      <c r="P86" s="309"/>
    </row>
    <row r="87" spans="1:16" s="300" customFormat="1" ht="18.75" customHeight="1">
      <c r="A87" s="291">
        <v>4</v>
      </c>
      <c r="B87" s="292" t="s">
        <v>205</v>
      </c>
      <c r="C87" s="308">
        <f t="shared" si="13"/>
        <v>734</v>
      </c>
      <c r="D87" s="308"/>
      <c r="E87" s="308"/>
      <c r="F87" s="308"/>
      <c r="G87" s="308">
        <f>SUM(H87:P87)</f>
        <v>734</v>
      </c>
      <c r="H87" s="308">
        <f>'Biểu 12'!E64/1000</f>
        <v>734</v>
      </c>
      <c r="I87" s="308"/>
      <c r="J87" s="308"/>
      <c r="K87" s="308"/>
      <c r="L87" s="308"/>
      <c r="M87" s="308"/>
      <c r="N87" s="308"/>
      <c r="O87" s="308"/>
      <c r="P87" s="309"/>
    </row>
    <row r="88" spans="1:16" s="300" customFormat="1" ht="18.75" customHeight="1">
      <c r="A88" s="291">
        <v>5</v>
      </c>
      <c r="B88" s="292" t="s">
        <v>206</v>
      </c>
      <c r="C88" s="308">
        <f t="shared" si="13"/>
        <v>469.45</v>
      </c>
      <c r="D88" s="308"/>
      <c r="E88" s="308"/>
      <c r="F88" s="308"/>
      <c r="G88" s="308">
        <f>SUM(H88:P88)</f>
        <v>469.45</v>
      </c>
      <c r="H88" s="308">
        <f>'Biểu 12'!E68/1000</f>
        <v>469.45</v>
      </c>
      <c r="I88" s="308"/>
      <c r="J88" s="308"/>
      <c r="K88" s="308"/>
      <c r="L88" s="308"/>
      <c r="M88" s="308"/>
      <c r="N88" s="308"/>
      <c r="O88" s="308"/>
      <c r="P88" s="309"/>
    </row>
    <row r="89" spans="1:16" s="300" customFormat="1" ht="18.75" customHeight="1">
      <c r="A89" s="291">
        <v>6</v>
      </c>
      <c r="B89" s="292" t="s">
        <v>268</v>
      </c>
      <c r="C89" s="308">
        <f t="shared" si="13"/>
        <v>163.42</v>
      </c>
      <c r="D89" s="308"/>
      <c r="E89" s="308"/>
      <c r="F89" s="308"/>
      <c r="G89" s="308">
        <f t="shared" si="21"/>
        <v>163.42</v>
      </c>
      <c r="H89" s="308">
        <f>'Biểu 12'!E76/1000</f>
        <v>163.42</v>
      </c>
      <c r="I89" s="308"/>
      <c r="J89" s="308"/>
      <c r="K89" s="308"/>
      <c r="L89" s="308"/>
      <c r="M89" s="308"/>
      <c r="N89" s="308"/>
      <c r="O89" s="308"/>
      <c r="P89" s="309"/>
    </row>
    <row r="90" spans="1:16" s="300" customFormat="1" ht="18.75" customHeight="1">
      <c r="A90" s="291">
        <v>7</v>
      </c>
      <c r="B90" s="292" t="s">
        <v>583</v>
      </c>
      <c r="C90" s="308">
        <f t="shared" si="13"/>
        <v>212.78</v>
      </c>
      <c r="D90" s="308"/>
      <c r="E90" s="308"/>
      <c r="F90" s="308"/>
      <c r="G90" s="308">
        <f>SUM(H90:P90)</f>
        <v>212.78</v>
      </c>
      <c r="H90" s="308">
        <f>'Biểu 12'!E79/1000</f>
        <v>212.78</v>
      </c>
      <c r="I90" s="308"/>
      <c r="J90" s="308"/>
      <c r="K90" s="308"/>
      <c r="L90" s="308"/>
      <c r="M90" s="308"/>
      <c r="N90" s="308"/>
      <c r="O90" s="308"/>
      <c r="P90" s="309"/>
    </row>
    <row r="91" spans="1:16" s="300" customFormat="1" ht="18.75" customHeight="1">
      <c r="A91" s="291">
        <v>8</v>
      </c>
      <c r="B91" s="292" t="s">
        <v>160</v>
      </c>
      <c r="C91" s="308">
        <f t="shared" si="13"/>
        <v>30</v>
      </c>
      <c r="D91" s="308"/>
      <c r="E91" s="308"/>
      <c r="F91" s="308"/>
      <c r="G91" s="308">
        <f>SUM(H91:P91)</f>
        <v>30</v>
      </c>
      <c r="H91" s="308">
        <f>'Biểu 12'!E82/1000</f>
        <v>30</v>
      </c>
      <c r="I91" s="308"/>
      <c r="J91" s="308"/>
      <c r="K91" s="308"/>
      <c r="L91" s="308"/>
      <c r="M91" s="308"/>
      <c r="N91" s="308"/>
      <c r="O91" s="308"/>
      <c r="P91" s="309"/>
    </row>
    <row r="92" spans="1:16" s="300" customFormat="1" ht="18.75" customHeight="1">
      <c r="A92" s="291">
        <v>9</v>
      </c>
      <c r="B92" s="292" t="s">
        <v>446</v>
      </c>
      <c r="C92" s="308">
        <f t="shared" si="13"/>
        <v>50</v>
      </c>
      <c r="D92" s="308"/>
      <c r="E92" s="308"/>
      <c r="F92" s="308"/>
      <c r="G92" s="308">
        <f t="shared" si="21"/>
        <v>50</v>
      </c>
      <c r="H92" s="308">
        <f>'Biểu 12'!E83/1000</f>
        <v>50</v>
      </c>
      <c r="I92" s="308"/>
      <c r="J92" s="308"/>
      <c r="K92" s="308"/>
      <c r="L92" s="308"/>
      <c r="M92" s="308"/>
      <c r="N92" s="308"/>
      <c r="O92" s="308"/>
      <c r="P92" s="309"/>
    </row>
    <row r="93" spans="1:16" s="299" customFormat="1" ht="18.75" customHeight="1">
      <c r="A93" s="289" t="s">
        <v>176</v>
      </c>
      <c r="B93" s="290" t="s">
        <v>386</v>
      </c>
      <c r="C93" s="306">
        <f>SUM(C94:C95)</f>
        <v>1209.3</v>
      </c>
      <c r="D93" s="306"/>
      <c r="E93" s="306"/>
      <c r="F93" s="306"/>
      <c r="G93" s="306">
        <f>SUM(G94:G95)</f>
        <v>1209.3</v>
      </c>
      <c r="H93" s="306">
        <f>SUM(H94:H95)</f>
        <v>1209.3</v>
      </c>
      <c r="I93" s="306"/>
      <c r="J93" s="306"/>
      <c r="K93" s="306"/>
      <c r="L93" s="306"/>
      <c r="M93" s="306"/>
      <c r="N93" s="306"/>
      <c r="O93" s="306"/>
      <c r="P93" s="307"/>
    </row>
    <row r="94" spans="1:16" s="300" customFormat="1" ht="18.75" customHeight="1">
      <c r="A94" s="291">
        <v>1</v>
      </c>
      <c r="B94" s="292" t="s">
        <v>160</v>
      </c>
      <c r="C94" s="308">
        <f t="shared" si="13"/>
        <v>546</v>
      </c>
      <c r="D94" s="308"/>
      <c r="E94" s="308"/>
      <c r="F94" s="308"/>
      <c r="G94" s="308">
        <f>SUM(H94:P94)</f>
        <v>546</v>
      </c>
      <c r="H94" s="308">
        <v>546</v>
      </c>
      <c r="I94" s="308"/>
      <c r="J94" s="308"/>
      <c r="K94" s="308"/>
      <c r="L94" s="308"/>
      <c r="M94" s="308"/>
      <c r="N94" s="308"/>
      <c r="O94" s="308"/>
      <c r="P94" s="309"/>
    </row>
    <row r="95" spans="1:16" s="300" customFormat="1" ht="18.75" customHeight="1">
      <c r="A95" s="291">
        <v>2</v>
      </c>
      <c r="B95" s="292" t="s">
        <v>446</v>
      </c>
      <c r="C95" s="308">
        <f t="shared" si="13"/>
        <v>663.3</v>
      </c>
      <c r="D95" s="308"/>
      <c r="E95" s="308"/>
      <c r="F95" s="308"/>
      <c r="G95" s="308">
        <f>SUM(H95:P95)</f>
        <v>663.3</v>
      </c>
      <c r="H95" s="308">
        <v>663.3</v>
      </c>
      <c r="I95" s="308"/>
      <c r="J95" s="308"/>
      <c r="K95" s="308"/>
      <c r="L95" s="308"/>
      <c r="M95" s="308"/>
      <c r="N95" s="308"/>
      <c r="O95" s="308"/>
      <c r="P95" s="309"/>
    </row>
    <row r="96" spans="1:16" s="298" customFormat="1" ht="18.75" customHeight="1">
      <c r="A96" s="289" t="s">
        <v>185</v>
      </c>
      <c r="B96" s="290" t="s">
        <v>207</v>
      </c>
      <c r="C96" s="306">
        <f aca="true" t="shared" si="23" ref="C96:P96">SUM(C97:C99)</f>
        <v>1650</v>
      </c>
      <c r="D96" s="306">
        <f t="shared" si="23"/>
        <v>0</v>
      </c>
      <c r="E96" s="306">
        <f t="shared" si="23"/>
        <v>0</v>
      </c>
      <c r="F96" s="306">
        <f t="shared" si="23"/>
        <v>0</v>
      </c>
      <c r="G96" s="306">
        <f t="shared" si="23"/>
        <v>1650</v>
      </c>
      <c r="H96" s="306">
        <f t="shared" si="23"/>
        <v>0</v>
      </c>
      <c r="I96" s="306">
        <f t="shared" si="23"/>
        <v>1650</v>
      </c>
      <c r="J96" s="306">
        <f t="shared" si="23"/>
        <v>0</v>
      </c>
      <c r="K96" s="306">
        <f t="shared" si="23"/>
        <v>0</v>
      </c>
      <c r="L96" s="306">
        <f t="shared" si="23"/>
        <v>0</v>
      </c>
      <c r="M96" s="306">
        <f t="shared" si="23"/>
        <v>0</v>
      </c>
      <c r="N96" s="306">
        <f t="shared" si="23"/>
        <v>0</v>
      </c>
      <c r="O96" s="306">
        <f t="shared" si="23"/>
        <v>0</v>
      </c>
      <c r="P96" s="307">
        <f t="shared" si="23"/>
        <v>0</v>
      </c>
    </row>
    <row r="97" spans="1:16" s="301" customFormat="1" ht="18.75" customHeight="1">
      <c r="A97" s="291">
        <v>1</v>
      </c>
      <c r="B97" s="292" t="s">
        <v>140</v>
      </c>
      <c r="C97" s="308">
        <f t="shared" si="13"/>
        <v>1610</v>
      </c>
      <c r="D97" s="308"/>
      <c r="E97" s="308"/>
      <c r="F97" s="308"/>
      <c r="G97" s="308">
        <f>SUM(H97:P97)</f>
        <v>1610</v>
      </c>
      <c r="H97" s="308"/>
      <c r="I97" s="308">
        <f>('Biểu 08'!E39+'Biểu 08'!E40)/1000</f>
        <v>1610</v>
      </c>
      <c r="J97" s="308"/>
      <c r="K97" s="308"/>
      <c r="L97" s="308"/>
      <c r="M97" s="308"/>
      <c r="N97" s="308"/>
      <c r="O97" s="308"/>
      <c r="P97" s="309"/>
    </row>
    <row r="98" spans="1:16" s="301" customFormat="1" ht="18.75" customHeight="1">
      <c r="A98" s="291">
        <v>2</v>
      </c>
      <c r="B98" s="292" t="s">
        <v>160</v>
      </c>
      <c r="C98" s="308">
        <f t="shared" si="13"/>
        <v>10</v>
      </c>
      <c r="D98" s="308"/>
      <c r="E98" s="308"/>
      <c r="F98" s="308"/>
      <c r="G98" s="308">
        <f>SUM(H98:P98)</f>
        <v>10</v>
      </c>
      <c r="H98" s="308"/>
      <c r="I98" s="308">
        <f>'Biểu 08'!E41/1000</f>
        <v>10</v>
      </c>
      <c r="J98" s="308"/>
      <c r="K98" s="308"/>
      <c r="L98" s="308"/>
      <c r="M98" s="308"/>
      <c r="N98" s="308"/>
      <c r="O98" s="308"/>
      <c r="P98" s="309"/>
    </row>
    <row r="99" spans="1:16" s="301" customFormat="1" ht="18.75" customHeight="1">
      <c r="A99" s="291">
        <v>3</v>
      </c>
      <c r="B99" s="292" t="s">
        <v>446</v>
      </c>
      <c r="C99" s="308">
        <f t="shared" si="13"/>
        <v>30</v>
      </c>
      <c r="D99" s="308"/>
      <c r="E99" s="308"/>
      <c r="F99" s="308"/>
      <c r="G99" s="308">
        <f>SUM(H99:P99)</f>
        <v>30</v>
      </c>
      <c r="H99" s="308"/>
      <c r="I99" s="308">
        <f>'Biểu 08'!E42/1000</f>
        <v>30</v>
      </c>
      <c r="J99" s="308"/>
      <c r="K99" s="308"/>
      <c r="L99" s="308"/>
      <c r="M99" s="308"/>
      <c r="N99" s="308"/>
      <c r="O99" s="308"/>
      <c r="P99" s="309"/>
    </row>
    <row r="100" spans="1:16" s="299" customFormat="1" ht="18.75" customHeight="1">
      <c r="A100" s="289" t="s">
        <v>215</v>
      </c>
      <c r="B100" s="290" t="s">
        <v>210</v>
      </c>
      <c r="C100" s="306">
        <f aca="true" t="shared" si="24" ref="C100:P100">SUM(C101:C105)</f>
        <v>4805</v>
      </c>
      <c r="D100" s="306">
        <f t="shared" si="24"/>
        <v>0</v>
      </c>
      <c r="E100" s="306">
        <f t="shared" si="24"/>
        <v>0</v>
      </c>
      <c r="F100" s="306">
        <f t="shared" si="24"/>
        <v>0</v>
      </c>
      <c r="G100" s="306">
        <f t="shared" si="24"/>
        <v>4805</v>
      </c>
      <c r="H100" s="306">
        <f t="shared" si="24"/>
        <v>0</v>
      </c>
      <c r="I100" s="306">
        <f t="shared" si="24"/>
        <v>0</v>
      </c>
      <c r="J100" s="306">
        <f t="shared" si="24"/>
        <v>0</v>
      </c>
      <c r="K100" s="306">
        <f t="shared" si="24"/>
        <v>0</v>
      </c>
      <c r="L100" s="306">
        <f t="shared" si="24"/>
        <v>0</v>
      </c>
      <c r="M100" s="306">
        <f t="shared" si="24"/>
        <v>0</v>
      </c>
      <c r="N100" s="306">
        <f t="shared" si="24"/>
        <v>4805</v>
      </c>
      <c r="O100" s="306">
        <f t="shared" si="24"/>
        <v>0</v>
      </c>
      <c r="P100" s="307">
        <f t="shared" si="24"/>
        <v>0</v>
      </c>
    </row>
    <row r="101" spans="1:16" s="300" customFormat="1" ht="18.75" customHeight="1">
      <c r="A101" s="291">
        <v>1</v>
      </c>
      <c r="B101" s="292" t="s">
        <v>584</v>
      </c>
      <c r="C101" s="308">
        <f t="shared" si="13"/>
        <v>220</v>
      </c>
      <c r="D101" s="308"/>
      <c r="E101" s="308"/>
      <c r="F101" s="308"/>
      <c r="G101" s="308">
        <f>SUM(H101:P101)</f>
        <v>220</v>
      </c>
      <c r="H101" s="308"/>
      <c r="I101" s="308"/>
      <c r="J101" s="308"/>
      <c r="K101" s="308"/>
      <c r="L101" s="308"/>
      <c r="M101" s="308"/>
      <c r="N101" s="308">
        <f>'Biểu 13'!C8/1000</f>
        <v>220</v>
      </c>
      <c r="O101" s="308"/>
      <c r="P101" s="309"/>
    </row>
    <row r="102" spans="1:16" s="300" customFormat="1" ht="18.75" customHeight="1">
      <c r="A102" s="291">
        <v>2</v>
      </c>
      <c r="B102" s="292" t="s">
        <v>170</v>
      </c>
      <c r="C102" s="308">
        <f t="shared" si="13"/>
        <v>30</v>
      </c>
      <c r="D102" s="308"/>
      <c r="E102" s="308"/>
      <c r="F102" s="308"/>
      <c r="G102" s="308">
        <f>SUM(H102:P102)</f>
        <v>30</v>
      </c>
      <c r="H102" s="308"/>
      <c r="I102" s="308"/>
      <c r="J102" s="308"/>
      <c r="K102" s="308"/>
      <c r="L102" s="308"/>
      <c r="M102" s="308"/>
      <c r="N102" s="308">
        <f>'Biểu 13'!C12/1000</f>
        <v>30</v>
      </c>
      <c r="O102" s="308"/>
      <c r="P102" s="309"/>
    </row>
    <row r="103" spans="1:16" s="300" customFormat="1" ht="18.75" customHeight="1">
      <c r="A103" s="291">
        <v>3</v>
      </c>
      <c r="B103" s="292" t="s">
        <v>213</v>
      </c>
      <c r="C103" s="308">
        <f t="shared" si="13"/>
        <v>3075</v>
      </c>
      <c r="D103" s="308"/>
      <c r="E103" s="308"/>
      <c r="F103" s="308"/>
      <c r="G103" s="308">
        <f>SUM(H103:P103)</f>
        <v>3075</v>
      </c>
      <c r="H103" s="308"/>
      <c r="I103" s="308"/>
      <c r="J103" s="308"/>
      <c r="K103" s="308"/>
      <c r="L103" s="308"/>
      <c r="M103" s="308"/>
      <c r="N103" s="308">
        <f>'Biểu 13'!C13/1000</f>
        <v>3075</v>
      </c>
      <c r="O103" s="308"/>
      <c r="P103" s="309"/>
    </row>
    <row r="104" spans="1:16" s="300" customFormat="1" ht="18.75" customHeight="1">
      <c r="A104" s="291">
        <v>4</v>
      </c>
      <c r="B104" s="292" t="s">
        <v>212</v>
      </c>
      <c r="C104" s="308">
        <f t="shared" si="13"/>
        <v>1450</v>
      </c>
      <c r="D104" s="308"/>
      <c r="E104" s="308"/>
      <c r="F104" s="308"/>
      <c r="G104" s="308">
        <f>SUM(H104:P104)</f>
        <v>1450</v>
      </c>
      <c r="H104" s="308"/>
      <c r="I104" s="308"/>
      <c r="J104" s="308"/>
      <c r="K104" s="308"/>
      <c r="L104" s="308"/>
      <c r="M104" s="308"/>
      <c r="N104" s="308">
        <f>'Biểu 13'!C17/1000</f>
        <v>1450</v>
      </c>
      <c r="O104" s="308"/>
      <c r="P104" s="309"/>
    </row>
    <row r="105" spans="1:16" s="300" customFormat="1" ht="18.75" customHeight="1">
      <c r="A105" s="291">
        <v>7</v>
      </c>
      <c r="B105" s="292" t="s">
        <v>207</v>
      </c>
      <c r="C105" s="308">
        <f t="shared" si="13"/>
        <v>30</v>
      </c>
      <c r="D105" s="308"/>
      <c r="E105" s="308"/>
      <c r="F105" s="308"/>
      <c r="G105" s="308">
        <f>SUM(H105:P105)</f>
        <v>30</v>
      </c>
      <c r="H105" s="308"/>
      <c r="I105" s="308"/>
      <c r="J105" s="308"/>
      <c r="K105" s="308"/>
      <c r="L105" s="308"/>
      <c r="M105" s="308"/>
      <c r="N105" s="308">
        <f>'Biểu 13'!C21/1000</f>
        <v>30</v>
      </c>
      <c r="O105" s="308"/>
      <c r="P105" s="309"/>
    </row>
    <row r="106" spans="1:16" s="299" customFormat="1" ht="18.75" customHeight="1">
      <c r="A106" s="285" t="s">
        <v>216</v>
      </c>
      <c r="B106" s="290" t="s">
        <v>127</v>
      </c>
      <c r="C106" s="306">
        <f>SUM(C107:C116)</f>
        <v>797</v>
      </c>
      <c r="D106" s="306">
        <f>SUM(D107:D114)</f>
        <v>0</v>
      </c>
      <c r="E106" s="306">
        <f>SUM(E107:E114)</f>
        <v>0</v>
      </c>
      <c r="F106" s="306">
        <f>SUM(F107:F114)</f>
        <v>0</v>
      </c>
      <c r="G106" s="306">
        <f>SUM(G107:G116)</f>
        <v>797</v>
      </c>
      <c r="H106" s="306">
        <f aca="true" t="shared" si="25" ref="H106:O106">SUM(H107:H114)</f>
        <v>0</v>
      </c>
      <c r="I106" s="306">
        <f t="shared" si="25"/>
        <v>0</v>
      </c>
      <c r="J106" s="306">
        <f t="shared" si="25"/>
        <v>0</v>
      </c>
      <c r="K106" s="306">
        <f t="shared" si="25"/>
        <v>0</v>
      </c>
      <c r="L106" s="306">
        <f t="shared" si="25"/>
        <v>0</v>
      </c>
      <c r="M106" s="306">
        <f t="shared" si="25"/>
        <v>0</v>
      </c>
      <c r="N106" s="306">
        <f t="shared" si="25"/>
        <v>0</v>
      </c>
      <c r="O106" s="306">
        <f t="shared" si="25"/>
        <v>0</v>
      </c>
      <c r="P106" s="307">
        <f>SUM(P107:P116)</f>
        <v>797</v>
      </c>
    </row>
    <row r="107" spans="1:16" s="300" customFormat="1" ht="17.25" customHeight="1">
      <c r="A107" s="291">
        <v>1</v>
      </c>
      <c r="B107" s="292" t="s">
        <v>236</v>
      </c>
      <c r="C107" s="308">
        <f aca="true" t="shared" si="26" ref="C107:C116">D107+G107</f>
        <v>90</v>
      </c>
      <c r="D107" s="308"/>
      <c r="E107" s="308"/>
      <c r="F107" s="308"/>
      <c r="G107" s="308">
        <f>'[2]Chi khac NS 14'!D7/1000</f>
        <v>90</v>
      </c>
      <c r="H107" s="308"/>
      <c r="I107" s="308"/>
      <c r="J107" s="308"/>
      <c r="K107" s="308"/>
      <c r="L107" s="308"/>
      <c r="M107" s="308"/>
      <c r="N107" s="308"/>
      <c r="O107" s="308"/>
      <c r="P107" s="309">
        <v>90</v>
      </c>
    </row>
    <row r="108" spans="1:16" s="300" customFormat="1" ht="17.25" customHeight="1">
      <c r="A108" s="291">
        <v>2</v>
      </c>
      <c r="B108" s="292" t="s">
        <v>198</v>
      </c>
      <c r="C108" s="308">
        <f t="shared" si="26"/>
        <v>80</v>
      </c>
      <c r="D108" s="308"/>
      <c r="E108" s="308"/>
      <c r="F108" s="308"/>
      <c r="G108" s="308">
        <f>'[2]Chi khac NS 14'!D8/1000</f>
        <v>80</v>
      </c>
      <c r="H108" s="308"/>
      <c r="I108" s="308"/>
      <c r="J108" s="308"/>
      <c r="K108" s="308"/>
      <c r="L108" s="308"/>
      <c r="M108" s="308"/>
      <c r="N108" s="308"/>
      <c r="O108" s="308"/>
      <c r="P108" s="309">
        <v>80</v>
      </c>
    </row>
    <row r="109" spans="1:16" s="300" customFormat="1" ht="17.25" customHeight="1">
      <c r="A109" s="291">
        <v>3</v>
      </c>
      <c r="B109" s="292" t="s">
        <v>201</v>
      </c>
      <c r="C109" s="308">
        <f t="shared" si="26"/>
        <v>30</v>
      </c>
      <c r="D109" s="308"/>
      <c r="E109" s="308"/>
      <c r="F109" s="308"/>
      <c r="G109" s="308">
        <f>'[2]Chi khac NS 14'!D9/1000</f>
        <v>30</v>
      </c>
      <c r="H109" s="308"/>
      <c r="I109" s="308"/>
      <c r="J109" s="308"/>
      <c r="K109" s="308"/>
      <c r="L109" s="308"/>
      <c r="M109" s="308"/>
      <c r="N109" s="308"/>
      <c r="O109" s="308"/>
      <c r="P109" s="309">
        <v>30</v>
      </c>
    </row>
    <row r="110" spans="1:16" s="300" customFormat="1" ht="17.25" customHeight="1">
      <c r="A110" s="291">
        <v>4</v>
      </c>
      <c r="B110" s="292" t="s">
        <v>270</v>
      </c>
      <c r="C110" s="308">
        <f t="shared" si="26"/>
        <v>20</v>
      </c>
      <c r="D110" s="308"/>
      <c r="E110" s="308"/>
      <c r="F110" s="308"/>
      <c r="G110" s="308">
        <f>'[2]Chi khac NS 14'!D10/1000</f>
        <v>20</v>
      </c>
      <c r="H110" s="308"/>
      <c r="I110" s="308"/>
      <c r="J110" s="308"/>
      <c r="K110" s="308"/>
      <c r="L110" s="308"/>
      <c r="M110" s="308"/>
      <c r="N110" s="308"/>
      <c r="O110" s="308"/>
      <c r="P110" s="309">
        <v>20</v>
      </c>
    </row>
    <row r="111" spans="1:16" s="300" customFormat="1" ht="17.25" customHeight="1">
      <c r="A111" s="291">
        <v>5</v>
      </c>
      <c r="B111" s="292" t="s">
        <v>198</v>
      </c>
      <c r="C111" s="308">
        <f t="shared" si="26"/>
        <v>140</v>
      </c>
      <c r="D111" s="308"/>
      <c r="E111" s="308"/>
      <c r="F111" s="308"/>
      <c r="G111" s="308">
        <f>'[2]Chi khac NS 14'!D11/1000+'[2]Chi khac NS 14'!D17/1000</f>
        <v>140</v>
      </c>
      <c r="H111" s="308"/>
      <c r="I111" s="308"/>
      <c r="J111" s="308"/>
      <c r="K111" s="308"/>
      <c r="L111" s="308"/>
      <c r="M111" s="308"/>
      <c r="N111" s="308"/>
      <c r="O111" s="308"/>
      <c r="P111" s="309">
        <v>140</v>
      </c>
    </row>
    <row r="112" spans="1:16" s="300" customFormat="1" ht="17.25" customHeight="1">
      <c r="A112" s="291">
        <v>6</v>
      </c>
      <c r="B112" s="292" t="s">
        <v>201</v>
      </c>
      <c r="C112" s="308">
        <f t="shared" si="26"/>
        <v>230</v>
      </c>
      <c r="D112" s="308"/>
      <c r="E112" s="308"/>
      <c r="F112" s="308"/>
      <c r="G112" s="308">
        <f>'[2]Chi khac NS 14'!D12/1000</f>
        <v>230</v>
      </c>
      <c r="H112" s="308"/>
      <c r="I112" s="308"/>
      <c r="J112" s="308"/>
      <c r="K112" s="308"/>
      <c r="L112" s="308"/>
      <c r="M112" s="308"/>
      <c r="N112" s="308"/>
      <c r="O112" s="308"/>
      <c r="P112" s="309">
        <v>230</v>
      </c>
    </row>
    <row r="113" spans="1:16" s="300" customFormat="1" ht="17.25" customHeight="1">
      <c r="A113" s="291">
        <v>7</v>
      </c>
      <c r="B113" s="292" t="s">
        <v>325</v>
      </c>
      <c r="C113" s="308">
        <f t="shared" si="26"/>
        <v>60</v>
      </c>
      <c r="D113" s="308"/>
      <c r="E113" s="308"/>
      <c r="F113" s="308"/>
      <c r="G113" s="308">
        <f>'[2]Chi khac NS 14'!D13/1000</f>
        <v>60</v>
      </c>
      <c r="H113" s="308"/>
      <c r="I113" s="308"/>
      <c r="J113" s="308"/>
      <c r="K113" s="308"/>
      <c r="L113" s="308"/>
      <c r="M113" s="308"/>
      <c r="N113" s="308"/>
      <c r="O113" s="308"/>
      <c r="P113" s="309">
        <v>60</v>
      </c>
    </row>
    <row r="114" spans="1:16" s="300" customFormat="1" ht="17.25" customHeight="1">
      <c r="A114" s="291">
        <v>8</v>
      </c>
      <c r="B114" s="292" t="s">
        <v>326</v>
      </c>
      <c r="C114" s="308">
        <f t="shared" si="26"/>
        <v>80</v>
      </c>
      <c r="D114" s="308"/>
      <c r="E114" s="308"/>
      <c r="F114" s="308"/>
      <c r="G114" s="308">
        <f>'[2]Chi khac NS 14'!D14/1000</f>
        <v>80</v>
      </c>
      <c r="H114" s="308"/>
      <c r="I114" s="308"/>
      <c r="J114" s="308"/>
      <c r="K114" s="308"/>
      <c r="L114" s="308"/>
      <c r="M114" s="308"/>
      <c r="N114" s="308"/>
      <c r="O114" s="308"/>
      <c r="P114" s="309">
        <v>80</v>
      </c>
    </row>
    <row r="115" spans="1:16" s="300" customFormat="1" ht="17.25" customHeight="1">
      <c r="A115" s="291">
        <v>9</v>
      </c>
      <c r="B115" s="292" t="s">
        <v>494</v>
      </c>
      <c r="C115" s="308">
        <f t="shared" si="26"/>
        <v>20</v>
      </c>
      <c r="D115" s="308"/>
      <c r="E115" s="308"/>
      <c r="F115" s="308"/>
      <c r="G115" s="308">
        <f>'[2]Chi khac NS 14'!D15/1000</f>
        <v>20</v>
      </c>
      <c r="H115" s="308"/>
      <c r="I115" s="308"/>
      <c r="J115" s="308"/>
      <c r="K115" s="308"/>
      <c r="L115" s="308"/>
      <c r="M115" s="308"/>
      <c r="N115" s="308"/>
      <c r="O115" s="308"/>
      <c r="P115" s="309">
        <v>20</v>
      </c>
    </row>
    <row r="116" spans="1:16" s="300" customFormat="1" ht="17.25" customHeight="1">
      <c r="A116" s="291">
        <v>10</v>
      </c>
      <c r="B116" s="292" t="s">
        <v>446</v>
      </c>
      <c r="C116" s="308">
        <f t="shared" si="26"/>
        <v>47</v>
      </c>
      <c r="D116" s="308"/>
      <c r="E116" s="308"/>
      <c r="F116" s="308"/>
      <c r="G116" s="308">
        <f>'[2]Chi khac NS 14'!D16/1000</f>
        <v>47</v>
      </c>
      <c r="H116" s="308"/>
      <c r="I116" s="308"/>
      <c r="J116" s="308"/>
      <c r="K116" s="308"/>
      <c r="L116" s="308"/>
      <c r="M116" s="308"/>
      <c r="N116" s="308"/>
      <c r="O116" s="308"/>
      <c r="P116" s="309">
        <v>47</v>
      </c>
    </row>
    <row r="117" spans="1:16" s="299" customFormat="1" ht="18.75" customHeight="1" thickBot="1">
      <c r="A117" s="294" t="s">
        <v>373</v>
      </c>
      <c r="B117" s="295" t="s">
        <v>214</v>
      </c>
      <c r="C117" s="313">
        <f>D117+G117</f>
        <v>8461</v>
      </c>
      <c r="D117" s="313"/>
      <c r="E117" s="313"/>
      <c r="F117" s="313"/>
      <c r="G117" s="313">
        <f>SUM(H117:P117)</f>
        <v>8461</v>
      </c>
      <c r="H117" s="313"/>
      <c r="I117" s="313"/>
      <c r="J117" s="313"/>
      <c r="K117" s="313"/>
      <c r="L117" s="313"/>
      <c r="M117" s="313"/>
      <c r="N117" s="313"/>
      <c r="O117" s="313">
        <v>8461</v>
      </c>
      <c r="P117" s="314"/>
    </row>
    <row r="118" spans="2:9" s="47" customFormat="1" ht="16.5">
      <c r="B118" s="48"/>
      <c r="C118" s="49"/>
      <c r="D118" s="50"/>
      <c r="H118" s="49"/>
      <c r="I118" s="49"/>
    </row>
    <row r="119" spans="2:9" s="47" customFormat="1" ht="16.5">
      <c r="B119" s="48"/>
      <c r="C119" s="49"/>
      <c r="D119" s="50"/>
      <c r="H119" s="49"/>
      <c r="I119" s="49"/>
    </row>
    <row r="120" spans="2:9" s="47" customFormat="1" ht="16.5">
      <c r="B120" s="48"/>
      <c r="C120" s="49"/>
      <c r="D120" s="50"/>
      <c r="H120" s="49"/>
      <c r="I120" s="49"/>
    </row>
    <row r="121" spans="2:9" s="47" customFormat="1" ht="16.5">
      <c r="B121" s="48"/>
      <c r="C121" s="49"/>
      <c r="D121" s="50"/>
      <c r="H121" s="49"/>
      <c r="I121" s="49"/>
    </row>
    <row r="122" spans="2:9" s="47" customFormat="1" ht="16.5">
      <c r="B122" s="48"/>
      <c r="C122" s="49"/>
      <c r="D122" s="50"/>
      <c r="H122" s="49"/>
      <c r="I122" s="49"/>
    </row>
    <row r="123" spans="2:9" s="47" customFormat="1" ht="16.5">
      <c r="B123" s="48"/>
      <c r="C123" s="49"/>
      <c r="D123" s="50"/>
      <c r="H123" s="49"/>
      <c r="I123" s="49"/>
    </row>
    <row r="124" spans="2:9" s="47" customFormat="1" ht="16.5">
      <c r="B124" s="48"/>
      <c r="C124" s="49"/>
      <c r="D124" s="50"/>
      <c r="H124" s="49"/>
      <c r="I124" s="49"/>
    </row>
    <row r="125" spans="2:9" s="47" customFormat="1" ht="16.5">
      <c r="B125" s="48"/>
      <c r="C125" s="49"/>
      <c r="D125" s="50"/>
      <c r="H125" s="49"/>
      <c r="I125" s="49"/>
    </row>
    <row r="126" spans="2:9" s="47" customFormat="1" ht="16.5">
      <c r="B126" s="48"/>
      <c r="C126" s="49"/>
      <c r="D126" s="50"/>
      <c r="H126" s="49"/>
      <c r="I126" s="49"/>
    </row>
    <row r="127" spans="2:9" s="47" customFormat="1" ht="16.5">
      <c r="B127" s="48"/>
      <c r="C127" s="49"/>
      <c r="D127" s="50"/>
      <c r="H127" s="49"/>
      <c r="I127" s="49"/>
    </row>
    <row r="128" spans="2:9" s="47" customFormat="1" ht="16.5">
      <c r="B128" s="48"/>
      <c r="C128" s="49"/>
      <c r="D128" s="50"/>
      <c r="H128" s="49"/>
      <c r="I128" s="49"/>
    </row>
    <row r="129" spans="2:9" s="47" customFormat="1" ht="16.5">
      <c r="B129" s="48"/>
      <c r="C129" s="49"/>
      <c r="D129" s="50"/>
      <c r="H129" s="49"/>
      <c r="I129" s="49"/>
    </row>
    <row r="130" spans="2:9" s="47" customFormat="1" ht="16.5">
      <c r="B130" s="48"/>
      <c r="C130" s="49"/>
      <c r="D130" s="50"/>
      <c r="H130" s="49"/>
      <c r="I130" s="49"/>
    </row>
    <row r="131" spans="2:9" s="47" customFormat="1" ht="16.5">
      <c r="B131" s="48"/>
      <c r="C131" s="49"/>
      <c r="D131" s="50"/>
      <c r="H131" s="49"/>
      <c r="I131" s="49"/>
    </row>
    <row r="132" spans="2:9" s="47" customFormat="1" ht="16.5">
      <c r="B132" s="48"/>
      <c r="C132" s="49"/>
      <c r="D132" s="50"/>
      <c r="H132" s="49"/>
      <c r="I132" s="49"/>
    </row>
    <row r="133" spans="2:9" s="47" customFormat="1" ht="16.5">
      <c r="B133" s="48"/>
      <c r="C133" s="49"/>
      <c r="D133" s="50"/>
      <c r="H133" s="49"/>
      <c r="I133" s="49"/>
    </row>
    <row r="134" spans="2:9" s="47" customFormat="1" ht="16.5">
      <c r="B134" s="48"/>
      <c r="C134" s="49"/>
      <c r="D134" s="50"/>
      <c r="H134" s="49"/>
      <c r="I134" s="49"/>
    </row>
    <row r="135" spans="2:9" s="47" customFormat="1" ht="16.5">
      <c r="B135" s="48"/>
      <c r="C135" s="49"/>
      <c r="D135" s="50"/>
      <c r="H135" s="49"/>
      <c r="I135" s="49"/>
    </row>
    <row r="136" ht="16.5">
      <c r="B136" s="8"/>
    </row>
    <row r="137" ht="16.5">
      <c r="B137" s="8"/>
    </row>
    <row r="138" ht="16.5">
      <c r="B138" s="8"/>
    </row>
    <row r="139" ht="16.5">
      <c r="B139" s="8"/>
    </row>
    <row r="140" ht="16.5">
      <c r="B140" s="8"/>
    </row>
    <row r="141" ht="16.5">
      <c r="B141" s="8"/>
    </row>
    <row r="142" ht="16.5">
      <c r="B142" s="8"/>
    </row>
    <row r="143" ht="16.5">
      <c r="B143" s="8"/>
    </row>
    <row r="144" ht="16.5">
      <c r="B144" s="8"/>
    </row>
    <row r="145" ht="16.5">
      <c r="B145" s="8"/>
    </row>
    <row r="146" ht="16.5">
      <c r="B146" s="8"/>
    </row>
    <row r="147" ht="16.5">
      <c r="B147" s="8"/>
    </row>
    <row r="148" ht="16.5">
      <c r="B148" s="8"/>
    </row>
    <row r="149" ht="16.5">
      <c r="B149" s="8"/>
    </row>
    <row r="150" ht="16.5">
      <c r="B150" s="8"/>
    </row>
    <row r="151" ht="16.5">
      <c r="B151" s="8"/>
    </row>
    <row r="152" ht="16.5">
      <c r="B152" s="8"/>
    </row>
    <row r="153" ht="16.5">
      <c r="B153" s="8"/>
    </row>
    <row r="154" ht="16.5">
      <c r="B154" s="8"/>
    </row>
    <row r="155" ht="16.5">
      <c r="B155" s="8"/>
    </row>
    <row r="156" ht="16.5">
      <c r="B156" s="8"/>
    </row>
    <row r="157" ht="16.5">
      <c r="B157" s="8"/>
    </row>
    <row r="158" ht="16.5">
      <c r="B158" s="8"/>
    </row>
    <row r="159" ht="16.5">
      <c r="B159" s="8"/>
    </row>
    <row r="160" ht="16.5">
      <c r="B160" s="8"/>
    </row>
    <row r="161" ht="16.5">
      <c r="B161" s="8"/>
    </row>
    <row r="162" ht="16.5">
      <c r="B162" s="8"/>
    </row>
    <row r="163" ht="16.5">
      <c r="B163" s="8"/>
    </row>
    <row r="164" ht="16.5">
      <c r="B164" s="8"/>
    </row>
    <row r="165" ht="16.5">
      <c r="B165" s="8"/>
    </row>
    <row r="166" ht="16.5">
      <c r="B166" s="8"/>
    </row>
    <row r="167" ht="16.5">
      <c r="B167" s="8"/>
    </row>
    <row r="168" ht="16.5">
      <c r="B168" s="8"/>
    </row>
    <row r="169" ht="16.5">
      <c r="B169" s="8"/>
    </row>
    <row r="170" ht="16.5">
      <c r="B170" s="8"/>
    </row>
    <row r="171" ht="16.5">
      <c r="B171" s="8"/>
    </row>
    <row r="172" ht="16.5">
      <c r="B172" s="8"/>
    </row>
    <row r="173" ht="16.5">
      <c r="B173" s="8"/>
    </row>
    <row r="174" ht="16.5">
      <c r="B174" s="8"/>
    </row>
    <row r="175" ht="16.5">
      <c r="B175" s="8"/>
    </row>
    <row r="176" ht="16.5">
      <c r="B176" s="8"/>
    </row>
    <row r="177" ht="16.5">
      <c r="B177" s="8"/>
    </row>
    <row r="178" ht="16.5">
      <c r="B178" s="8"/>
    </row>
    <row r="179" ht="16.5">
      <c r="B179" s="8"/>
    </row>
    <row r="180" ht="16.5">
      <c r="B180" s="8"/>
    </row>
    <row r="181" ht="16.5">
      <c r="B181" s="8"/>
    </row>
    <row r="182" ht="16.5">
      <c r="B182" s="8"/>
    </row>
    <row r="183" ht="16.5">
      <c r="B183" s="8"/>
    </row>
    <row r="184" ht="16.5">
      <c r="B184" s="8"/>
    </row>
    <row r="185" ht="16.5">
      <c r="B185" s="8"/>
    </row>
    <row r="186" ht="16.5">
      <c r="B186" s="8"/>
    </row>
    <row r="187" ht="16.5">
      <c r="B187" s="8"/>
    </row>
    <row r="188" ht="16.5">
      <c r="B188" s="8"/>
    </row>
    <row r="189" ht="16.5">
      <c r="B189" s="8"/>
    </row>
    <row r="190" ht="16.5">
      <c r="B190" s="8"/>
    </row>
    <row r="191" ht="16.5">
      <c r="B191" s="8"/>
    </row>
    <row r="192" ht="16.5">
      <c r="B192" s="8"/>
    </row>
    <row r="193" ht="16.5">
      <c r="B193" s="8"/>
    </row>
    <row r="194" ht="16.5">
      <c r="B194" s="8"/>
    </row>
    <row r="195" ht="16.5">
      <c r="B195" s="8"/>
    </row>
    <row r="196" ht="16.5">
      <c r="B196" s="8"/>
    </row>
    <row r="197" ht="16.5">
      <c r="B197" s="8"/>
    </row>
    <row r="198" ht="16.5">
      <c r="B198" s="8"/>
    </row>
    <row r="199" ht="16.5">
      <c r="B199" s="8"/>
    </row>
    <row r="200" ht="16.5">
      <c r="B200" s="8"/>
    </row>
    <row r="201" ht="16.5">
      <c r="B201" s="8"/>
    </row>
    <row r="202" ht="16.5">
      <c r="B202" s="8"/>
    </row>
    <row r="203" ht="16.5">
      <c r="B203" s="8"/>
    </row>
    <row r="204" ht="16.5">
      <c r="B204" s="8"/>
    </row>
    <row r="205" ht="16.5">
      <c r="B205" s="8"/>
    </row>
    <row r="206" ht="16.5">
      <c r="B206" s="8"/>
    </row>
    <row r="207" ht="16.5">
      <c r="B207" s="8"/>
    </row>
    <row r="208" ht="16.5">
      <c r="B208" s="8"/>
    </row>
    <row r="209" ht="16.5">
      <c r="B209" s="8"/>
    </row>
    <row r="210" ht="16.5">
      <c r="B210" s="8"/>
    </row>
    <row r="211" ht="16.5">
      <c r="B211" s="8"/>
    </row>
    <row r="212" ht="16.5">
      <c r="B212" s="8"/>
    </row>
    <row r="213" ht="16.5">
      <c r="B213" s="8"/>
    </row>
    <row r="214" ht="16.5">
      <c r="B214" s="8"/>
    </row>
    <row r="215" ht="16.5">
      <c r="B215" s="8"/>
    </row>
    <row r="216" ht="16.5">
      <c r="B216" s="8"/>
    </row>
    <row r="217" ht="16.5">
      <c r="B217" s="8"/>
    </row>
    <row r="218" ht="16.5">
      <c r="B218" s="8"/>
    </row>
    <row r="219" ht="16.5">
      <c r="B219" s="8"/>
    </row>
    <row r="220" ht="16.5">
      <c r="B220" s="8"/>
    </row>
    <row r="221" ht="16.5">
      <c r="B221" s="8"/>
    </row>
    <row r="222" ht="16.5">
      <c r="B222" s="8"/>
    </row>
    <row r="223" ht="16.5">
      <c r="B223" s="8"/>
    </row>
    <row r="224" ht="16.5">
      <c r="B224" s="8"/>
    </row>
    <row r="225" ht="16.5">
      <c r="B225" s="8"/>
    </row>
    <row r="226" ht="16.5">
      <c r="B226" s="8"/>
    </row>
    <row r="227" ht="16.5">
      <c r="B227" s="8"/>
    </row>
    <row r="228" ht="16.5">
      <c r="B228" s="8"/>
    </row>
    <row r="229" ht="16.5">
      <c r="B229" s="8"/>
    </row>
    <row r="230" ht="16.5">
      <c r="B230" s="8"/>
    </row>
    <row r="231" ht="16.5">
      <c r="B231" s="8"/>
    </row>
    <row r="232" ht="16.5">
      <c r="B232" s="8"/>
    </row>
    <row r="233" ht="16.5">
      <c r="B233" s="8"/>
    </row>
    <row r="234" ht="16.5">
      <c r="B234" s="8"/>
    </row>
    <row r="235" ht="16.5">
      <c r="B235" s="8"/>
    </row>
    <row r="236" ht="16.5">
      <c r="B236" s="8"/>
    </row>
    <row r="237" ht="16.5">
      <c r="B237" s="8"/>
    </row>
    <row r="238" ht="16.5">
      <c r="B238" s="8"/>
    </row>
    <row r="239" ht="16.5">
      <c r="B239" s="8"/>
    </row>
    <row r="240" ht="16.5">
      <c r="B240" s="8"/>
    </row>
    <row r="241" ht="16.5">
      <c r="B241" s="8"/>
    </row>
    <row r="242" ht="16.5">
      <c r="B242" s="8"/>
    </row>
    <row r="243" ht="16.5">
      <c r="B243" s="8"/>
    </row>
    <row r="244" ht="16.5">
      <c r="B244" s="8"/>
    </row>
    <row r="245" ht="16.5">
      <c r="B245" s="8"/>
    </row>
    <row r="246" ht="16.5">
      <c r="B246" s="8"/>
    </row>
    <row r="247" ht="16.5">
      <c r="B247" s="8"/>
    </row>
    <row r="248" ht="16.5">
      <c r="B248" s="8"/>
    </row>
    <row r="249" ht="16.5">
      <c r="B249" s="8"/>
    </row>
    <row r="250" ht="16.5">
      <c r="B250" s="8"/>
    </row>
    <row r="251" ht="16.5">
      <c r="B251" s="8"/>
    </row>
    <row r="252" ht="16.5">
      <c r="B252" s="8"/>
    </row>
    <row r="253" ht="16.5">
      <c r="B253" s="8"/>
    </row>
    <row r="254" ht="16.5">
      <c r="B254" s="8"/>
    </row>
    <row r="255" ht="16.5">
      <c r="B255" s="8"/>
    </row>
    <row r="256" ht="16.5">
      <c r="B256" s="8"/>
    </row>
    <row r="257" ht="16.5">
      <c r="B257" s="8"/>
    </row>
    <row r="258" ht="16.5">
      <c r="B258" s="8"/>
    </row>
    <row r="259" ht="16.5">
      <c r="B259" s="8"/>
    </row>
    <row r="260" ht="16.5">
      <c r="B260" s="8"/>
    </row>
    <row r="261" ht="16.5">
      <c r="B261" s="8"/>
    </row>
    <row r="262" ht="16.5">
      <c r="B262" s="8"/>
    </row>
    <row r="263" ht="16.5">
      <c r="B263" s="8"/>
    </row>
    <row r="264" ht="16.5">
      <c r="B264" s="8"/>
    </row>
    <row r="265" ht="16.5">
      <c r="B265" s="8"/>
    </row>
    <row r="266" ht="16.5">
      <c r="B266" s="8"/>
    </row>
    <row r="267" ht="16.5">
      <c r="B267" s="8"/>
    </row>
    <row r="268" ht="16.5">
      <c r="B268" s="8"/>
    </row>
    <row r="269" ht="16.5">
      <c r="B269" s="8"/>
    </row>
    <row r="270" ht="16.5">
      <c r="B270" s="8"/>
    </row>
    <row r="271" ht="16.5">
      <c r="B271" s="8"/>
    </row>
    <row r="272" ht="16.5">
      <c r="B272" s="8"/>
    </row>
    <row r="273" ht="16.5">
      <c r="B273" s="8"/>
    </row>
    <row r="274" ht="16.5">
      <c r="B274" s="8"/>
    </row>
    <row r="275" ht="16.5">
      <c r="B275" s="8"/>
    </row>
    <row r="276" ht="16.5">
      <c r="B276" s="8"/>
    </row>
    <row r="277" ht="16.5">
      <c r="B277" s="8"/>
    </row>
    <row r="278" ht="16.5">
      <c r="B278" s="8"/>
    </row>
    <row r="279" ht="16.5">
      <c r="B279" s="8"/>
    </row>
    <row r="280" ht="16.5">
      <c r="B280" s="8"/>
    </row>
    <row r="281" ht="16.5">
      <c r="B281" s="8"/>
    </row>
    <row r="282" ht="16.5">
      <c r="B282" s="8"/>
    </row>
    <row r="283" ht="16.5">
      <c r="B283" s="8"/>
    </row>
    <row r="284" ht="16.5">
      <c r="B284" s="8"/>
    </row>
    <row r="285" ht="16.5">
      <c r="B285" s="8"/>
    </row>
    <row r="286" ht="16.5">
      <c r="B286" s="8"/>
    </row>
    <row r="287" ht="16.5">
      <c r="B287" s="8"/>
    </row>
    <row r="288" ht="16.5">
      <c r="B288" s="8"/>
    </row>
    <row r="289" ht="16.5">
      <c r="B289" s="8"/>
    </row>
    <row r="290" ht="16.5">
      <c r="B290" s="8"/>
    </row>
    <row r="291" ht="16.5">
      <c r="B291" s="8"/>
    </row>
    <row r="292" ht="16.5">
      <c r="B292" s="8"/>
    </row>
    <row r="293" ht="16.5">
      <c r="B293" s="8"/>
    </row>
    <row r="294" ht="16.5">
      <c r="B294" s="8"/>
    </row>
    <row r="295" ht="16.5">
      <c r="B295" s="8"/>
    </row>
    <row r="296" ht="16.5">
      <c r="B296" s="8"/>
    </row>
    <row r="297" ht="16.5">
      <c r="B297" s="8"/>
    </row>
    <row r="298" ht="16.5">
      <c r="B298" s="8"/>
    </row>
    <row r="299" ht="16.5">
      <c r="B299" s="8"/>
    </row>
    <row r="300" ht="16.5">
      <c r="B300" s="8"/>
    </row>
    <row r="301" ht="16.5">
      <c r="B301" s="8"/>
    </row>
    <row r="302" ht="16.5">
      <c r="B302" s="8"/>
    </row>
    <row r="303" ht="16.5">
      <c r="B303" s="8"/>
    </row>
    <row r="304" ht="16.5">
      <c r="B304" s="8"/>
    </row>
    <row r="305" ht="16.5">
      <c r="B305" s="8"/>
    </row>
    <row r="306" ht="16.5">
      <c r="B306" s="8"/>
    </row>
    <row r="307" ht="16.5">
      <c r="B307" s="8"/>
    </row>
    <row r="308" ht="16.5">
      <c r="B308" s="8"/>
    </row>
    <row r="309" ht="16.5">
      <c r="B309" s="8"/>
    </row>
    <row r="310" ht="16.5">
      <c r="B310" s="8"/>
    </row>
    <row r="311" ht="16.5">
      <c r="B311" s="8"/>
    </row>
    <row r="312" ht="16.5">
      <c r="B312" s="8"/>
    </row>
    <row r="313" ht="16.5">
      <c r="B313" s="8"/>
    </row>
    <row r="314" ht="16.5">
      <c r="B314" s="8"/>
    </row>
    <row r="315" ht="16.5">
      <c r="B315" s="8"/>
    </row>
    <row r="316" ht="16.5">
      <c r="B316" s="8"/>
    </row>
    <row r="317" ht="16.5">
      <c r="B317" s="8"/>
    </row>
  </sheetData>
  <sheetProtection/>
  <mergeCells count="13">
    <mergeCell ref="A1:P1"/>
    <mergeCell ref="E6:F6"/>
    <mergeCell ref="G6:G7"/>
    <mergeCell ref="H6:P6"/>
    <mergeCell ref="A5:A7"/>
    <mergeCell ref="B5:B7"/>
    <mergeCell ref="C5:C7"/>
    <mergeCell ref="D5:F5"/>
    <mergeCell ref="N4:P4"/>
    <mergeCell ref="G5:P5"/>
    <mergeCell ref="D6:D7"/>
    <mergeCell ref="A3:P3"/>
    <mergeCell ref="A2:P2"/>
  </mergeCells>
  <printOptions horizontalCentered="1"/>
  <pageMargins left="0" right="0" top="0.5118110236220472" bottom="0.5118110236220472" header="0.5118110236220472" footer="0"/>
  <pageSetup horizontalDpi="600" verticalDpi="600" orientation="landscape" paperSize="9" scale="90" r:id="rId1"/>
  <headerFooter alignWithMargins="0">
    <oddFooter>&amp;CPage &amp;P</oddFooter>
  </headerFooter>
</worksheet>
</file>

<file path=xl/worksheets/sheet20.xml><?xml version="1.0" encoding="utf-8"?>
<worksheet xmlns="http://schemas.openxmlformats.org/spreadsheetml/2006/main" xmlns:r="http://schemas.openxmlformats.org/officeDocument/2006/relationships">
  <dimension ref="A1:M26"/>
  <sheetViews>
    <sheetView zoomScalePageLayoutView="0" workbookViewId="0" topLeftCell="A1">
      <selection activeCell="F14" sqref="F14"/>
    </sheetView>
  </sheetViews>
  <sheetFormatPr defaultColWidth="8.88671875" defaultRowHeight="16.5"/>
  <cols>
    <col min="1" max="1" width="5.4453125" style="6" customWidth="1"/>
    <col min="2" max="2" width="17.21484375" style="4" customWidth="1"/>
    <col min="3" max="3" width="12.10546875" style="4" customWidth="1"/>
    <col min="4" max="4" width="12.3359375" style="4" customWidth="1"/>
    <col min="5" max="5" width="10.99609375" style="4" customWidth="1"/>
    <col min="6" max="6" width="12.21484375" style="4" customWidth="1"/>
    <col min="7" max="7" width="12.5546875" style="4" customWidth="1"/>
    <col min="8" max="8" width="10.77734375" style="4" customWidth="1"/>
    <col min="9" max="9" width="12.6640625" style="4" customWidth="1"/>
    <col min="10" max="10" width="12.10546875" style="4" customWidth="1"/>
    <col min="11" max="11" width="13.21484375" style="4" customWidth="1"/>
    <col min="12" max="12" width="10.21484375" style="4" customWidth="1"/>
    <col min="13" max="13" width="9.5546875" style="4" bestFit="1" customWidth="1"/>
    <col min="14" max="16384" width="8.88671875" style="4" customWidth="1"/>
  </cols>
  <sheetData>
    <row r="1" spans="1:12" ht="19.5" customHeight="1">
      <c r="A1" s="260" t="s">
        <v>520</v>
      </c>
      <c r="B1" s="261"/>
      <c r="C1" s="261"/>
      <c r="D1" s="261"/>
      <c r="E1" s="261"/>
      <c r="F1" s="261"/>
      <c r="G1" s="261"/>
      <c r="H1" s="261"/>
      <c r="I1" s="261"/>
      <c r="J1" s="261"/>
      <c r="K1" s="261"/>
      <c r="L1" s="261"/>
    </row>
    <row r="2" spans="1:12" s="5" customFormat="1" ht="19.5" customHeight="1">
      <c r="A2" s="260" t="s">
        <v>519</v>
      </c>
      <c r="B2" s="261"/>
      <c r="C2" s="261"/>
      <c r="D2" s="261"/>
      <c r="E2" s="261"/>
      <c r="F2" s="261"/>
      <c r="G2" s="261"/>
      <c r="H2" s="261"/>
      <c r="I2" s="261"/>
      <c r="J2" s="261"/>
      <c r="K2" s="261"/>
      <c r="L2" s="261"/>
    </row>
    <row r="3" spans="1:12" ht="19.5" customHeight="1">
      <c r="A3" s="262" t="str">
        <f>'Biểu 14'!A3:E3</f>
        <v>(Kèm theo Nghị quyết số 86/NĐ-HĐND ngày 18 tháng 12 năm 2015 của HĐND huyện Sông Mã)</v>
      </c>
      <c r="B3" s="263"/>
      <c r="C3" s="263"/>
      <c r="D3" s="263"/>
      <c r="E3" s="263"/>
      <c r="F3" s="263"/>
      <c r="G3" s="263"/>
      <c r="H3" s="263"/>
      <c r="I3" s="263"/>
      <c r="J3" s="263"/>
      <c r="K3" s="263"/>
      <c r="L3" s="263"/>
    </row>
    <row r="4" spans="1:12" s="5" customFormat="1" ht="18" customHeight="1" thickBot="1">
      <c r="A4" s="191"/>
      <c r="B4" s="192"/>
      <c r="G4" s="192"/>
      <c r="L4" s="658" t="s">
        <v>184</v>
      </c>
    </row>
    <row r="5" spans="1:13" s="16" customFormat="1" ht="21.75" customHeight="1">
      <c r="A5" s="659" t="s">
        <v>97</v>
      </c>
      <c r="B5" s="660" t="s">
        <v>180</v>
      </c>
      <c r="C5" s="660" t="s">
        <v>181</v>
      </c>
      <c r="D5" s="660" t="s">
        <v>102</v>
      </c>
      <c r="E5" s="661"/>
      <c r="F5" s="660" t="s">
        <v>182</v>
      </c>
      <c r="G5" s="660" t="s">
        <v>102</v>
      </c>
      <c r="H5" s="661"/>
      <c r="I5" s="660" t="s">
        <v>229</v>
      </c>
      <c r="J5" s="660" t="s">
        <v>102</v>
      </c>
      <c r="K5" s="661"/>
      <c r="L5" s="662" t="s">
        <v>144</v>
      </c>
      <c r="M5" s="193"/>
    </row>
    <row r="6" spans="1:12" s="16" customFormat="1" ht="69.75" customHeight="1">
      <c r="A6" s="663"/>
      <c r="B6" s="653"/>
      <c r="C6" s="653"/>
      <c r="D6" s="655" t="s">
        <v>280</v>
      </c>
      <c r="E6" s="655" t="s">
        <v>217</v>
      </c>
      <c r="F6" s="653"/>
      <c r="G6" s="655" t="s">
        <v>96</v>
      </c>
      <c r="H6" s="655" t="s">
        <v>230</v>
      </c>
      <c r="I6" s="653"/>
      <c r="J6" s="655" t="s">
        <v>183</v>
      </c>
      <c r="K6" s="655" t="s">
        <v>392</v>
      </c>
      <c r="L6" s="664"/>
    </row>
    <row r="7" spans="1:12" s="16" customFormat="1" ht="24" customHeight="1">
      <c r="A7" s="665"/>
      <c r="B7" s="654" t="s">
        <v>566</v>
      </c>
      <c r="C7" s="676">
        <v>114644000</v>
      </c>
      <c r="D7" s="676">
        <v>110940370</v>
      </c>
      <c r="E7" s="676">
        <v>3703630</v>
      </c>
      <c r="F7" s="676">
        <v>114644000</v>
      </c>
      <c r="G7" s="676">
        <v>111460000</v>
      </c>
      <c r="H7" s="676">
        <v>3184000</v>
      </c>
      <c r="I7" s="676">
        <v>110940370</v>
      </c>
      <c r="J7" s="676">
        <v>107756370</v>
      </c>
      <c r="K7" s="676">
        <v>3184000</v>
      </c>
      <c r="L7" s="666"/>
    </row>
    <row r="8" spans="1:12" s="17" customFormat="1" ht="18.75" customHeight="1">
      <c r="A8" s="667">
        <v>1</v>
      </c>
      <c r="B8" s="656" t="s">
        <v>103</v>
      </c>
      <c r="C8" s="677">
        <v>3981700</v>
      </c>
      <c r="D8" s="677">
        <v>2061700</v>
      </c>
      <c r="E8" s="678">
        <v>1920000</v>
      </c>
      <c r="F8" s="678">
        <v>3981700</v>
      </c>
      <c r="G8" s="677">
        <v>3897700</v>
      </c>
      <c r="H8" s="677">
        <v>84000</v>
      </c>
      <c r="I8" s="677">
        <v>2061700</v>
      </c>
      <c r="J8" s="677">
        <v>1977700</v>
      </c>
      <c r="K8" s="677">
        <v>84000</v>
      </c>
      <c r="L8" s="668"/>
    </row>
    <row r="9" spans="1:12" s="17" customFormat="1" ht="18.75" customHeight="1">
      <c r="A9" s="667">
        <v>2</v>
      </c>
      <c r="B9" s="656" t="s">
        <v>104</v>
      </c>
      <c r="C9" s="677">
        <v>5399900</v>
      </c>
      <c r="D9" s="677">
        <v>5365900</v>
      </c>
      <c r="E9" s="678">
        <v>34000</v>
      </c>
      <c r="F9" s="678">
        <v>5399900</v>
      </c>
      <c r="G9" s="677">
        <v>5275900</v>
      </c>
      <c r="H9" s="677">
        <v>124000</v>
      </c>
      <c r="I9" s="677">
        <v>5365900</v>
      </c>
      <c r="J9" s="677">
        <v>5241900</v>
      </c>
      <c r="K9" s="677">
        <v>124000</v>
      </c>
      <c r="L9" s="668"/>
    </row>
    <row r="10" spans="1:12" s="17" customFormat="1" ht="18.75" customHeight="1">
      <c r="A10" s="669">
        <v>3</v>
      </c>
      <c r="B10" s="656" t="s">
        <v>139</v>
      </c>
      <c r="C10" s="677">
        <v>4268300</v>
      </c>
      <c r="D10" s="677">
        <v>4250360</v>
      </c>
      <c r="E10" s="678">
        <v>17940</v>
      </c>
      <c r="F10" s="678">
        <v>4268300</v>
      </c>
      <c r="G10" s="677">
        <v>4205300</v>
      </c>
      <c r="H10" s="677">
        <v>63000</v>
      </c>
      <c r="I10" s="677">
        <v>4250360</v>
      </c>
      <c r="J10" s="677">
        <v>4187360</v>
      </c>
      <c r="K10" s="677">
        <v>63000</v>
      </c>
      <c r="L10" s="668"/>
    </row>
    <row r="11" spans="1:12" s="17" customFormat="1" ht="18.75" customHeight="1">
      <c r="A11" s="667">
        <v>4</v>
      </c>
      <c r="B11" s="656" t="s">
        <v>105</v>
      </c>
      <c r="C11" s="677">
        <v>5419600</v>
      </c>
      <c r="D11" s="677">
        <v>5384930</v>
      </c>
      <c r="E11" s="678">
        <v>34670</v>
      </c>
      <c r="F11" s="678">
        <v>5419600</v>
      </c>
      <c r="G11" s="677">
        <v>5293600</v>
      </c>
      <c r="H11" s="677">
        <v>126000</v>
      </c>
      <c r="I11" s="677">
        <v>5384930</v>
      </c>
      <c r="J11" s="677">
        <v>5258930</v>
      </c>
      <c r="K11" s="677">
        <v>126000</v>
      </c>
      <c r="L11" s="668"/>
    </row>
    <row r="12" spans="1:12" s="17" customFormat="1" ht="18.75" customHeight="1">
      <c r="A12" s="667">
        <v>5</v>
      </c>
      <c r="B12" s="656" t="s">
        <v>106</v>
      </c>
      <c r="C12" s="677">
        <v>5496500</v>
      </c>
      <c r="D12" s="677">
        <v>5466860</v>
      </c>
      <c r="E12" s="678">
        <v>29640</v>
      </c>
      <c r="F12" s="678">
        <v>5496500</v>
      </c>
      <c r="G12" s="677">
        <v>5377500</v>
      </c>
      <c r="H12" s="677">
        <v>119000</v>
      </c>
      <c r="I12" s="677">
        <v>5466860</v>
      </c>
      <c r="J12" s="677">
        <v>5347860</v>
      </c>
      <c r="K12" s="677">
        <v>119000</v>
      </c>
      <c r="L12" s="668"/>
    </row>
    <row r="13" spans="1:12" s="17" customFormat="1" ht="18.75" customHeight="1">
      <c r="A13" s="669">
        <v>6</v>
      </c>
      <c r="B13" s="656" t="s">
        <v>107</v>
      </c>
      <c r="C13" s="677">
        <v>4724200</v>
      </c>
      <c r="D13" s="677">
        <v>4543200</v>
      </c>
      <c r="E13" s="678">
        <v>181000</v>
      </c>
      <c r="F13" s="678">
        <v>4724200</v>
      </c>
      <c r="G13" s="677">
        <v>4612200</v>
      </c>
      <c r="H13" s="677">
        <v>112000</v>
      </c>
      <c r="I13" s="677">
        <v>4543200</v>
      </c>
      <c r="J13" s="677">
        <v>4431200</v>
      </c>
      <c r="K13" s="677">
        <v>112000</v>
      </c>
      <c r="L13" s="668"/>
    </row>
    <row r="14" spans="1:12" s="17" customFormat="1" ht="18.75" customHeight="1">
      <c r="A14" s="667">
        <v>7</v>
      </c>
      <c r="B14" s="656" t="s">
        <v>108</v>
      </c>
      <c r="C14" s="677">
        <v>6606800</v>
      </c>
      <c r="D14" s="677">
        <v>6550700</v>
      </c>
      <c r="E14" s="678">
        <v>56100</v>
      </c>
      <c r="F14" s="678">
        <v>6606800</v>
      </c>
      <c r="G14" s="677">
        <v>6410800</v>
      </c>
      <c r="H14" s="677">
        <v>196000</v>
      </c>
      <c r="I14" s="677">
        <v>6550700</v>
      </c>
      <c r="J14" s="677">
        <v>6354700</v>
      </c>
      <c r="K14" s="677">
        <v>196000</v>
      </c>
      <c r="L14" s="668"/>
    </row>
    <row r="15" spans="1:12" s="17" customFormat="1" ht="18.75" customHeight="1">
      <c r="A15" s="667">
        <v>8</v>
      </c>
      <c r="B15" s="656" t="s">
        <v>109</v>
      </c>
      <c r="C15" s="677">
        <v>6858700</v>
      </c>
      <c r="D15" s="677">
        <v>6825600</v>
      </c>
      <c r="E15" s="678">
        <v>33100</v>
      </c>
      <c r="F15" s="678">
        <v>6858700</v>
      </c>
      <c r="G15" s="677">
        <v>6666700</v>
      </c>
      <c r="H15" s="677">
        <v>192000</v>
      </c>
      <c r="I15" s="677">
        <v>6825600</v>
      </c>
      <c r="J15" s="677">
        <v>6633600</v>
      </c>
      <c r="K15" s="677">
        <v>192000</v>
      </c>
      <c r="L15" s="668"/>
    </row>
    <row r="16" spans="1:12" s="16" customFormat="1" ht="18.75" customHeight="1">
      <c r="A16" s="669">
        <v>9</v>
      </c>
      <c r="B16" s="656" t="s">
        <v>110</v>
      </c>
      <c r="C16" s="677">
        <v>5958400</v>
      </c>
      <c r="D16" s="677">
        <v>5894900</v>
      </c>
      <c r="E16" s="678">
        <v>63500</v>
      </c>
      <c r="F16" s="678">
        <v>5958400</v>
      </c>
      <c r="G16" s="677">
        <v>5790400</v>
      </c>
      <c r="H16" s="677">
        <v>168000</v>
      </c>
      <c r="I16" s="677">
        <v>5894900</v>
      </c>
      <c r="J16" s="677">
        <v>5726900</v>
      </c>
      <c r="K16" s="677">
        <v>168000</v>
      </c>
      <c r="L16" s="670"/>
    </row>
    <row r="17" spans="1:12" s="17" customFormat="1" ht="18.75" customHeight="1">
      <c r="A17" s="667">
        <v>10</v>
      </c>
      <c r="B17" s="656" t="s">
        <v>111</v>
      </c>
      <c r="C17" s="677">
        <v>5928000</v>
      </c>
      <c r="D17" s="677">
        <v>5864500</v>
      </c>
      <c r="E17" s="678">
        <v>63500</v>
      </c>
      <c r="F17" s="678">
        <v>5928000</v>
      </c>
      <c r="G17" s="677">
        <v>5748000</v>
      </c>
      <c r="H17" s="677">
        <v>180000</v>
      </c>
      <c r="I17" s="677">
        <v>5864500</v>
      </c>
      <c r="J17" s="677">
        <v>5684500</v>
      </c>
      <c r="K17" s="677">
        <v>180000</v>
      </c>
      <c r="L17" s="671"/>
    </row>
    <row r="18" spans="1:12" s="17" customFormat="1" ht="18.75" customHeight="1">
      <c r="A18" s="667">
        <v>11</v>
      </c>
      <c r="B18" s="656" t="s">
        <v>112</v>
      </c>
      <c r="C18" s="677">
        <v>7391400</v>
      </c>
      <c r="D18" s="677">
        <v>7148300</v>
      </c>
      <c r="E18" s="678">
        <v>243100</v>
      </c>
      <c r="F18" s="678">
        <v>7391400</v>
      </c>
      <c r="G18" s="677">
        <v>7128400</v>
      </c>
      <c r="H18" s="677">
        <v>263000</v>
      </c>
      <c r="I18" s="677">
        <v>7148300</v>
      </c>
      <c r="J18" s="677">
        <v>6885300</v>
      </c>
      <c r="K18" s="677">
        <v>263000</v>
      </c>
      <c r="L18" s="671"/>
    </row>
    <row r="19" spans="1:12" s="16" customFormat="1" ht="18.75" customHeight="1">
      <c r="A19" s="669">
        <v>12</v>
      </c>
      <c r="B19" s="656" t="s">
        <v>113</v>
      </c>
      <c r="C19" s="677">
        <v>4927100</v>
      </c>
      <c r="D19" s="677">
        <v>4906100</v>
      </c>
      <c r="E19" s="678">
        <v>21000</v>
      </c>
      <c r="F19" s="678">
        <v>4927100</v>
      </c>
      <c r="G19" s="677">
        <v>4829100</v>
      </c>
      <c r="H19" s="677">
        <v>98000</v>
      </c>
      <c r="I19" s="677">
        <v>4906100</v>
      </c>
      <c r="J19" s="677">
        <v>4808100</v>
      </c>
      <c r="K19" s="677">
        <v>98000</v>
      </c>
      <c r="L19" s="672"/>
    </row>
    <row r="20" spans="1:12" s="16" customFormat="1" ht="18.75" customHeight="1">
      <c r="A20" s="667">
        <v>13</v>
      </c>
      <c r="B20" s="657" t="s">
        <v>114</v>
      </c>
      <c r="C20" s="677">
        <v>8968500</v>
      </c>
      <c r="D20" s="677">
        <v>8784500</v>
      </c>
      <c r="E20" s="678">
        <v>184000</v>
      </c>
      <c r="F20" s="678">
        <v>8968500</v>
      </c>
      <c r="G20" s="677">
        <v>8593500</v>
      </c>
      <c r="H20" s="677">
        <v>375000</v>
      </c>
      <c r="I20" s="677">
        <v>8784500</v>
      </c>
      <c r="J20" s="677">
        <v>8409500</v>
      </c>
      <c r="K20" s="677">
        <v>375000</v>
      </c>
      <c r="L20" s="672"/>
    </row>
    <row r="21" spans="1:12" s="16" customFormat="1" ht="18.75" customHeight="1">
      <c r="A21" s="667">
        <v>14</v>
      </c>
      <c r="B21" s="656" t="s">
        <v>115</v>
      </c>
      <c r="C21" s="677">
        <v>7155600</v>
      </c>
      <c r="D21" s="677">
        <v>6948600</v>
      </c>
      <c r="E21" s="678">
        <v>207000</v>
      </c>
      <c r="F21" s="678">
        <v>7155600</v>
      </c>
      <c r="G21" s="677">
        <v>6905600</v>
      </c>
      <c r="H21" s="677">
        <v>250000</v>
      </c>
      <c r="I21" s="677">
        <v>6948600</v>
      </c>
      <c r="J21" s="677">
        <v>6698600</v>
      </c>
      <c r="K21" s="677">
        <v>250000</v>
      </c>
      <c r="L21" s="672"/>
    </row>
    <row r="22" spans="1:12" s="16" customFormat="1" ht="18.75" customHeight="1">
      <c r="A22" s="669">
        <v>15</v>
      </c>
      <c r="B22" s="656" t="s">
        <v>116</v>
      </c>
      <c r="C22" s="677">
        <v>5868000</v>
      </c>
      <c r="D22" s="677">
        <v>5788300</v>
      </c>
      <c r="E22" s="678">
        <v>79700</v>
      </c>
      <c r="F22" s="678">
        <v>5868000</v>
      </c>
      <c r="G22" s="677">
        <v>5706000</v>
      </c>
      <c r="H22" s="677">
        <v>162000</v>
      </c>
      <c r="I22" s="677">
        <v>5788300</v>
      </c>
      <c r="J22" s="677">
        <v>5626300</v>
      </c>
      <c r="K22" s="677">
        <v>162000</v>
      </c>
      <c r="L22" s="672"/>
    </row>
    <row r="23" spans="1:12" s="16" customFormat="1" ht="18.75" customHeight="1">
      <c r="A23" s="667">
        <v>16</v>
      </c>
      <c r="B23" s="656" t="s">
        <v>117</v>
      </c>
      <c r="C23" s="677">
        <v>5567600</v>
      </c>
      <c r="D23" s="677">
        <v>5519500</v>
      </c>
      <c r="E23" s="678">
        <v>48100</v>
      </c>
      <c r="F23" s="678">
        <v>5567600</v>
      </c>
      <c r="G23" s="677">
        <v>5462600</v>
      </c>
      <c r="H23" s="677">
        <v>105000</v>
      </c>
      <c r="I23" s="677">
        <v>5519500</v>
      </c>
      <c r="J23" s="677">
        <v>5414500</v>
      </c>
      <c r="K23" s="677">
        <v>105000</v>
      </c>
      <c r="L23" s="672"/>
    </row>
    <row r="24" spans="1:12" s="16" customFormat="1" ht="18.75" customHeight="1">
      <c r="A24" s="667">
        <v>17</v>
      </c>
      <c r="B24" s="656" t="s">
        <v>118</v>
      </c>
      <c r="C24" s="677">
        <v>6252100</v>
      </c>
      <c r="D24" s="677">
        <v>6212220</v>
      </c>
      <c r="E24" s="678">
        <v>39880</v>
      </c>
      <c r="F24" s="678">
        <v>6252100</v>
      </c>
      <c r="G24" s="677">
        <v>6128100</v>
      </c>
      <c r="H24" s="677">
        <v>124000</v>
      </c>
      <c r="I24" s="677">
        <v>6212220</v>
      </c>
      <c r="J24" s="677">
        <v>6088220</v>
      </c>
      <c r="K24" s="677">
        <v>124000</v>
      </c>
      <c r="L24" s="672"/>
    </row>
    <row r="25" spans="1:12" s="16" customFormat="1" ht="18.75" customHeight="1">
      <c r="A25" s="669">
        <v>18</v>
      </c>
      <c r="B25" s="656" t="s">
        <v>119</v>
      </c>
      <c r="C25" s="677">
        <v>8175000</v>
      </c>
      <c r="D25" s="677">
        <v>8098000</v>
      </c>
      <c r="E25" s="678">
        <v>77000</v>
      </c>
      <c r="F25" s="678">
        <v>8175000</v>
      </c>
      <c r="G25" s="677">
        <v>7893000</v>
      </c>
      <c r="H25" s="677">
        <v>282000</v>
      </c>
      <c r="I25" s="677">
        <v>8098000</v>
      </c>
      <c r="J25" s="677">
        <v>7816000</v>
      </c>
      <c r="K25" s="677">
        <v>282000</v>
      </c>
      <c r="L25" s="672"/>
    </row>
    <row r="26" spans="1:12" s="16" customFormat="1" ht="18.75" customHeight="1" thickBot="1">
      <c r="A26" s="673">
        <v>19</v>
      </c>
      <c r="B26" s="674" t="s">
        <v>120</v>
      </c>
      <c r="C26" s="679">
        <v>5696600</v>
      </c>
      <c r="D26" s="679">
        <v>5326200</v>
      </c>
      <c r="E26" s="680">
        <v>370400</v>
      </c>
      <c r="F26" s="680">
        <v>5696600</v>
      </c>
      <c r="G26" s="679">
        <v>5535600</v>
      </c>
      <c r="H26" s="679">
        <v>161000</v>
      </c>
      <c r="I26" s="679">
        <v>5326200</v>
      </c>
      <c r="J26" s="679">
        <v>5165200</v>
      </c>
      <c r="K26" s="679">
        <v>161000</v>
      </c>
      <c r="L26" s="675"/>
    </row>
  </sheetData>
  <sheetProtection/>
  <mergeCells count="12">
    <mergeCell ref="F5:F6"/>
    <mergeCell ref="G5:H5"/>
    <mergeCell ref="A1:L1"/>
    <mergeCell ref="A2:L2"/>
    <mergeCell ref="A3:L3"/>
    <mergeCell ref="A5:A6"/>
    <mergeCell ref="B5:B6"/>
    <mergeCell ref="C5:C6"/>
    <mergeCell ref="L5:L6"/>
    <mergeCell ref="D5:E5"/>
    <mergeCell ref="I5:I6"/>
    <mergeCell ref="J5:K5"/>
  </mergeCells>
  <printOptions horizontalCentered="1"/>
  <pageMargins left="0" right="0" top="0.5118110236220472" bottom="0.5118110236220472"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D29"/>
  <sheetViews>
    <sheetView zoomScalePageLayoutView="0" workbookViewId="0" topLeftCell="A1">
      <selection activeCell="B11" sqref="B11"/>
    </sheetView>
  </sheetViews>
  <sheetFormatPr defaultColWidth="7.99609375" defaultRowHeight="16.5"/>
  <cols>
    <col min="1" max="1" width="4.88671875" style="76" customWidth="1"/>
    <col min="2" max="2" width="53.4453125" style="80" customWidth="1"/>
    <col min="3" max="3" width="11.99609375" style="76" customWidth="1"/>
    <col min="4" max="4" width="13.6640625" style="76" customWidth="1"/>
    <col min="5" max="16384" width="7.99609375" style="76" customWidth="1"/>
  </cols>
  <sheetData>
    <row r="1" spans="1:4" ht="19.5" customHeight="1">
      <c r="A1" s="233" t="s">
        <v>587</v>
      </c>
      <c r="B1" s="233"/>
      <c r="C1" s="233"/>
      <c r="D1" s="233"/>
    </row>
    <row r="2" spans="1:4" ht="19.5" customHeight="1">
      <c r="A2" s="236" t="s">
        <v>500</v>
      </c>
      <c r="B2" s="236"/>
      <c r="C2" s="236"/>
      <c r="D2" s="236"/>
    </row>
    <row r="3" spans="1:4" ht="19.5" customHeight="1">
      <c r="A3" s="236" t="s">
        <v>399</v>
      </c>
      <c r="B3" s="236"/>
      <c r="C3" s="236"/>
      <c r="D3" s="236"/>
    </row>
    <row r="4" spans="1:4" ht="21" customHeight="1">
      <c r="A4" s="315" t="str">
        <f>'Biểu 01'!A3:D3</f>
        <v>(Kèm theo Nghị quyết số 86/NĐ-HĐND ngày 18 tháng 12 năm 2015 của HĐND huyện Sông Mã)</v>
      </c>
      <c r="B4" s="315"/>
      <c r="C4" s="315"/>
      <c r="D4" s="315"/>
    </row>
    <row r="5" spans="1:4" ht="17.25" customHeight="1" thickBot="1">
      <c r="A5" s="77"/>
      <c r="B5" s="78"/>
      <c r="C5" s="337" t="s">
        <v>149</v>
      </c>
      <c r="D5" s="337"/>
    </row>
    <row r="6" spans="1:4" ht="42" customHeight="1">
      <c r="A6" s="318" t="s">
        <v>97</v>
      </c>
      <c r="B6" s="319" t="s">
        <v>121</v>
      </c>
      <c r="C6" s="319" t="s">
        <v>374</v>
      </c>
      <c r="D6" s="320" t="s">
        <v>144</v>
      </c>
    </row>
    <row r="7" spans="1:4" ht="24.75" customHeight="1">
      <c r="A7" s="321"/>
      <c r="B7" s="336" t="s">
        <v>524</v>
      </c>
      <c r="C7" s="339">
        <f>C8+C15+C19+C22</f>
        <v>5111040</v>
      </c>
      <c r="D7" s="323"/>
    </row>
    <row r="8" spans="1:4" ht="24.75" customHeight="1">
      <c r="A8" s="321" t="s">
        <v>99</v>
      </c>
      <c r="B8" s="338" t="s">
        <v>588</v>
      </c>
      <c r="C8" s="339">
        <f>SUM(C9:C14)</f>
        <v>1228200</v>
      </c>
      <c r="D8" s="323"/>
    </row>
    <row r="9" spans="1:4" ht="57.75" customHeight="1">
      <c r="A9" s="324">
        <v>1</v>
      </c>
      <c r="B9" s="325" t="s">
        <v>589</v>
      </c>
      <c r="C9" s="340">
        <v>100000</v>
      </c>
      <c r="D9" s="327"/>
    </row>
    <row r="10" spans="1:4" ht="54.75" customHeight="1">
      <c r="A10" s="324">
        <v>2</v>
      </c>
      <c r="B10" s="325" t="s">
        <v>590</v>
      </c>
      <c r="C10" s="340">
        <v>60000</v>
      </c>
      <c r="D10" s="327"/>
    </row>
    <row r="11" spans="1:4" ht="39" customHeight="1">
      <c r="A11" s="324">
        <v>3</v>
      </c>
      <c r="B11" s="325" t="s">
        <v>591</v>
      </c>
      <c r="C11" s="340">
        <v>160000</v>
      </c>
      <c r="D11" s="327"/>
    </row>
    <row r="12" spans="1:4" ht="41.25" customHeight="1">
      <c r="A12" s="324">
        <v>4</v>
      </c>
      <c r="B12" s="325" t="s">
        <v>592</v>
      </c>
      <c r="C12" s="340">
        <f>300000+220000</f>
        <v>520000</v>
      </c>
      <c r="D12" s="327"/>
    </row>
    <row r="13" spans="1:4" ht="75" customHeight="1">
      <c r="A13" s="324">
        <v>5</v>
      </c>
      <c r="B13" s="325" t="s">
        <v>593</v>
      </c>
      <c r="C13" s="340">
        <f>274500+23700</f>
        <v>298200</v>
      </c>
      <c r="D13" s="327"/>
    </row>
    <row r="14" spans="1:4" ht="54" customHeight="1">
      <c r="A14" s="324">
        <v>6</v>
      </c>
      <c r="B14" s="325" t="s">
        <v>594</v>
      </c>
      <c r="C14" s="340">
        <v>90000</v>
      </c>
      <c r="D14" s="327"/>
    </row>
    <row r="15" spans="1:4" s="79" customFormat="1" ht="24" customHeight="1">
      <c r="A15" s="328" t="s">
        <v>100</v>
      </c>
      <c r="B15" s="342" t="s">
        <v>595</v>
      </c>
      <c r="C15" s="339">
        <f>SUM(C16:C18)</f>
        <v>310000</v>
      </c>
      <c r="D15" s="329"/>
    </row>
    <row r="16" spans="1:4" ht="21.75" customHeight="1">
      <c r="A16" s="330">
        <v>1</v>
      </c>
      <c r="B16" s="325" t="s">
        <v>329</v>
      </c>
      <c r="C16" s="340">
        <v>130000</v>
      </c>
      <c r="D16" s="327"/>
    </row>
    <row r="17" spans="1:4" ht="24" customHeight="1">
      <c r="A17" s="324">
        <v>2</v>
      </c>
      <c r="B17" s="325" t="s">
        <v>596</v>
      </c>
      <c r="C17" s="340">
        <v>80000</v>
      </c>
      <c r="D17" s="327"/>
    </row>
    <row r="18" spans="1:4" ht="23.25" customHeight="1">
      <c r="A18" s="324">
        <v>3</v>
      </c>
      <c r="B18" s="325" t="s">
        <v>393</v>
      </c>
      <c r="C18" s="340">
        <v>100000</v>
      </c>
      <c r="D18" s="327"/>
    </row>
    <row r="19" spans="1:4" s="79" customFormat="1" ht="24.75" customHeight="1">
      <c r="A19" s="328" t="s">
        <v>101</v>
      </c>
      <c r="B19" s="342" t="s">
        <v>597</v>
      </c>
      <c r="C19" s="339">
        <f>SUM(C20:C21)</f>
        <v>1100000</v>
      </c>
      <c r="D19" s="327"/>
    </row>
    <row r="20" spans="1:4" ht="18" customHeight="1">
      <c r="A20" s="330">
        <v>1</v>
      </c>
      <c r="B20" s="325" t="s">
        <v>394</v>
      </c>
      <c r="C20" s="340">
        <v>800000</v>
      </c>
      <c r="D20" s="327"/>
    </row>
    <row r="21" spans="1:4" ht="38.25" customHeight="1">
      <c r="A21" s="330">
        <v>2</v>
      </c>
      <c r="B21" s="325" t="s">
        <v>395</v>
      </c>
      <c r="C21" s="340">
        <v>300000</v>
      </c>
      <c r="D21" s="327" t="s">
        <v>599</v>
      </c>
    </row>
    <row r="22" spans="1:4" s="79" customFormat="1" ht="23.25" customHeight="1">
      <c r="A22" s="328" t="s">
        <v>168</v>
      </c>
      <c r="B22" s="342" t="s">
        <v>598</v>
      </c>
      <c r="C22" s="339">
        <f>SUM(C23:C29)</f>
        <v>2472840</v>
      </c>
      <c r="D22" s="329"/>
    </row>
    <row r="23" spans="1:4" ht="24" customHeight="1">
      <c r="A23" s="330">
        <v>1</v>
      </c>
      <c r="B23" s="325" t="s">
        <v>331</v>
      </c>
      <c r="C23" s="340">
        <f>'[1]SNNN (05a)'!E8</f>
        <v>361000</v>
      </c>
      <c r="D23" s="331" t="s">
        <v>600</v>
      </c>
    </row>
    <row r="24" spans="1:4" ht="24" customHeight="1">
      <c r="A24" s="330">
        <v>2</v>
      </c>
      <c r="B24" s="325" t="s">
        <v>332</v>
      </c>
      <c r="C24" s="340">
        <f>'[1]SNNN (05a)'!E10</f>
        <v>110040</v>
      </c>
      <c r="D24" s="331"/>
    </row>
    <row r="25" spans="1:4" ht="24.75" customHeight="1">
      <c r="A25" s="330">
        <v>3</v>
      </c>
      <c r="B25" s="325" t="s">
        <v>328</v>
      </c>
      <c r="C25" s="340">
        <v>100000</v>
      </c>
      <c r="D25" s="327"/>
    </row>
    <row r="26" spans="1:4" ht="112.5" customHeight="1">
      <c r="A26" s="330">
        <v>4</v>
      </c>
      <c r="B26" s="325" t="s">
        <v>396</v>
      </c>
      <c r="C26" s="340">
        <f>470000+61800</f>
        <v>531800</v>
      </c>
      <c r="D26" s="331" t="s">
        <v>599</v>
      </c>
    </row>
    <row r="27" spans="1:4" ht="40.5" customHeight="1">
      <c r="A27" s="330">
        <v>5</v>
      </c>
      <c r="B27" s="325" t="s">
        <v>397</v>
      </c>
      <c r="C27" s="340">
        <v>430000</v>
      </c>
      <c r="D27" s="331"/>
    </row>
    <row r="28" spans="1:4" ht="38.25" customHeight="1">
      <c r="A28" s="330">
        <v>6</v>
      </c>
      <c r="B28" s="325" t="s">
        <v>395</v>
      </c>
      <c r="C28" s="340">
        <f>500000+190000</f>
        <v>690000</v>
      </c>
      <c r="D28" s="331"/>
    </row>
    <row r="29" spans="1:4" ht="39.75" customHeight="1" thickBot="1">
      <c r="A29" s="332">
        <v>7</v>
      </c>
      <c r="B29" s="333" t="s">
        <v>398</v>
      </c>
      <c r="C29" s="341">
        <v>250000</v>
      </c>
      <c r="D29" s="335"/>
    </row>
  </sheetData>
  <sheetProtection/>
  <mergeCells count="7">
    <mergeCell ref="D23:D24"/>
    <mergeCell ref="D26:D29"/>
    <mergeCell ref="A1:D1"/>
    <mergeCell ref="A2:D2"/>
    <mergeCell ref="A3:D3"/>
    <mergeCell ref="A4:D4"/>
    <mergeCell ref="C5:D5"/>
  </mergeCells>
  <printOptions horizontalCentered="1"/>
  <pageMargins left="0" right="0" top="0.5118110236220472" bottom="0.5118110236220472"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L46"/>
  <sheetViews>
    <sheetView zoomScalePageLayoutView="0" workbookViewId="0" topLeftCell="A1">
      <selection activeCell="D11" sqref="D11"/>
    </sheetView>
  </sheetViews>
  <sheetFormatPr defaultColWidth="8.88671875" defaultRowHeight="16.5"/>
  <cols>
    <col min="1" max="1" width="5.10546875" style="10" customWidth="1"/>
    <col min="2" max="2" width="24.5546875" style="10" customWidth="1"/>
    <col min="3" max="3" width="8.5546875" style="20" customWidth="1"/>
    <col min="4" max="4" width="9.21484375" style="10" customWidth="1"/>
    <col min="5" max="5" width="10.88671875" style="26" customWidth="1"/>
    <col min="6" max="6" width="10.99609375" style="26" customWidth="1"/>
    <col min="7" max="7" width="11.10546875" style="26" customWidth="1"/>
    <col min="8" max="8" width="9.99609375" style="10" customWidth="1"/>
    <col min="9" max="9" width="9.21484375" style="10" customWidth="1"/>
    <col min="10" max="10" width="10.77734375" style="10" customWidth="1"/>
    <col min="11" max="11" width="11.3359375" style="20" customWidth="1"/>
    <col min="12" max="12" width="8.99609375" style="10" bestFit="1" customWidth="1"/>
    <col min="13" max="16384" width="8.88671875" style="10" customWidth="1"/>
  </cols>
  <sheetData>
    <row r="1" spans="1:12" ht="20.25" customHeight="1">
      <c r="A1" s="344" t="s">
        <v>601</v>
      </c>
      <c r="B1" s="344"/>
      <c r="C1" s="344"/>
      <c r="D1" s="344"/>
      <c r="E1" s="344"/>
      <c r="F1" s="344"/>
      <c r="G1" s="344"/>
      <c r="H1" s="344"/>
      <c r="I1" s="344"/>
      <c r="J1" s="74"/>
      <c r="K1" s="74"/>
      <c r="L1" s="72"/>
    </row>
    <row r="2" spans="1:12" ht="34.5" customHeight="1">
      <c r="A2" s="343" t="s">
        <v>501</v>
      </c>
      <c r="B2" s="343"/>
      <c r="C2" s="343"/>
      <c r="D2" s="343"/>
      <c r="E2" s="343"/>
      <c r="F2" s="343"/>
      <c r="G2" s="343"/>
      <c r="H2" s="343"/>
      <c r="I2" s="343"/>
      <c r="J2" s="120"/>
      <c r="K2" s="120"/>
      <c r="L2" s="72"/>
    </row>
    <row r="3" spans="1:12" ht="21" customHeight="1">
      <c r="A3" s="234" t="str">
        <f>'Biểu 03'!A4:D4</f>
        <v>(Kèm theo Nghị quyết số 86/NĐ-HĐND ngày 18 tháng 12 năm 2015 của HĐND huyện Sông Mã)</v>
      </c>
      <c r="B3" s="234"/>
      <c r="C3" s="234"/>
      <c r="D3" s="234"/>
      <c r="E3" s="234"/>
      <c r="F3" s="234"/>
      <c r="G3" s="234"/>
      <c r="H3" s="234"/>
      <c r="I3" s="234"/>
      <c r="J3" s="121"/>
      <c r="K3" s="121"/>
      <c r="L3" s="72"/>
    </row>
    <row r="4" spans="1:12" ht="21" customHeight="1" thickBot="1">
      <c r="A4" s="81"/>
      <c r="B4" s="81"/>
      <c r="C4" s="81"/>
      <c r="D4" s="81"/>
      <c r="E4" s="81"/>
      <c r="F4" s="81"/>
      <c r="G4" s="81"/>
      <c r="H4" s="345" t="s">
        <v>149</v>
      </c>
      <c r="I4" s="345"/>
      <c r="J4" s="81"/>
      <c r="K4" s="81"/>
      <c r="L4" s="72"/>
    </row>
    <row r="5" spans="1:9" s="19" customFormat="1" ht="21.75" customHeight="1">
      <c r="A5" s="346" t="s">
        <v>97</v>
      </c>
      <c r="B5" s="347" t="s">
        <v>121</v>
      </c>
      <c r="C5" s="347" t="s">
        <v>602</v>
      </c>
      <c r="D5" s="347" t="s">
        <v>232</v>
      </c>
      <c r="E5" s="347" t="s">
        <v>374</v>
      </c>
      <c r="F5" s="347" t="s">
        <v>102</v>
      </c>
      <c r="G5" s="347"/>
      <c r="H5" s="347"/>
      <c r="I5" s="348" t="s">
        <v>144</v>
      </c>
    </row>
    <row r="6" spans="1:9" s="19" customFormat="1" ht="53.25" customHeight="1">
      <c r="A6" s="349"/>
      <c r="B6" s="350"/>
      <c r="C6" s="351"/>
      <c r="D6" s="351"/>
      <c r="E6" s="350"/>
      <c r="F6" s="352" t="s">
        <v>603</v>
      </c>
      <c r="G6" s="353" t="s">
        <v>249</v>
      </c>
      <c r="H6" s="353" t="s">
        <v>400</v>
      </c>
      <c r="I6" s="354"/>
    </row>
    <row r="7" spans="1:9" s="119" customFormat="1" ht="27.75" customHeight="1">
      <c r="A7" s="330">
        <v>1</v>
      </c>
      <c r="B7" s="356" t="s">
        <v>333</v>
      </c>
      <c r="C7" s="340"/>
      <c r="D7" s="340"/>
      <c r="E7" s="359">
        <f>E8</f>
        <v>361000</v>
      </c>
      <c r="F7" s="359">
        <f>F8</f>
        <v>200000</v>
      </c>
      <c r="G7" s="359">
        <f>G8</f>
        <v>161000</v>
      </c>
      <c r="H7" s="359">
        <f>H8</f>
        <v>0</v>
      </c>
      <c r="I7" s="363"/>
    </row>
    <row r="8" spans="1:10" s="119" customFormat="1" ht="27.75" customHeight="1">
      <c r="A8" s="330"/>
      <c r="B8" s="356" t="s">
        <v>148</v>
      </c>
      <c r="C8" s="358">
        <v>4</v>
      </c>
      <c r="D8" s="358">
        <v>50000</v>
      </c>
      <c r="E8" s="359">
        <f>SUM(F8:H8)</f>
        <v>361000</v>
      </c>
      <c r="F8" s="359">
        <f>C8*D8</f>
        <v>200000</v>
      </c>
      <c r="G8" s="359">
        <f>101000+60000</f>
        <v>161000</v>
      </c>
      <c r="H8" s="359"/>
      <c r="I8" s="363"/>
      <c r="J8" s="118"/>
    </row>
    <row r="9" spans="1:9" s="119" customFormat="1" ht="27.75" customHeight="1">
      <c r="A9" s="330">
        <v>2</v>
      </c>
      <c r="B9" s="356" t="s">
        <v>604</v>
      </c>
      <c r="C9" s="340"/>
      <c r="D9" s="340"/>
      <c r="E9" s="359">
        <f>E10</f>
        <v>110040</v>
      </c>
      <c r="F9" s="359">
        <f>F10</f>
        <v>0</v>
      </c>
      <c r="G9" s="359">
        <f>G10</f>
        <v>80040</v>
      </c>
      <c r="H9" s="359">
        <f>H10</f>
        <v>30000</v>
      </c>
      <c r="I9" s="363"/>
    </row>
    <row r="10" spans="1:10" s="119" customFormat="1" ht="26.25" customHeight="1" thickBot="1">
      <c r="A10" s="332"/>
      <c r="B10" s="360" t="s">
        <v>148</v>
      </c>
      <c r="C10" s="361">
        <v>2</v>
      </c>
      <c r="D10" s="361"/>
      <c r="E10" s="362">
        <f>SUM(F10:H10)</f>
        <v>110040</v>
      </c>
      <c r="F10" s="362">
        <f>C10*D10</f>
        <v>0</v>
      </c>
      <c r="G10" s="362">
        <v>80040</v>
      </c>
      <c r="H10" s="362">
        <f>15000*2</f>
        <v>30000</v>
      </c>
      <c r="I10" s="364"/>
      <c r="J10" s="118"/>
    </row>
    <row r="11" spans="3:9" s="22" customFormat="1" ht="16.5">
      <c r="C11" s="61"/>
      <c r="E11" s="32"/>
      <c r="F11" s="32"/>
      <c r="G11" s="32"/>
      <c r="I11" s="61"/>
    </row>
    <row r="12" spans="3:9" s="22" customFormat="1" ht="16.5">
      <c r="C12" s="61"/>
      <c r="E12" s="32"/>
      <c r="F12" s="32"/>
      <c r="G12" s="32"/>
      <c r="I12" s="61"/>
    </row>
    <row r="13" spans="3:9" s="22" customFormat="1" ht="16.5">
      <c r="C13" s="61"/>
      <c r="E13" s="32"/>
      <c r="F13" s="32"/>
      <c r="G13" s="32"/>
      <c r="I13" s="61"/>
    </row>
    <row r="14" spans="3:9" s="22" customFormat="1" ht="16.5">
      <c r="C14" s="61"/>
      <c r="E14" s="32"/>
      <c r="F14" s="32"/>
      <c r="G14" s="32"/>
      <c r="I14" s="61"/>
    </row>
    <row r="15" spans="3:9" s="22" customFormat="1" ht="16.5">
      <c r="C15" s="61"/>
      <c r="E15" s="32"/>
      <c r="F15" s="32"/>
      <c r="G15" s="32"/>
      <c r="I15" s="61"/>
    </row>
    <row r="16" spans="3:9" s="22" customFormat="1" ht="16.5">
      <c r="C16" s="61"/>
      <c r="E16" s="32"/>
      <c r="F16" s="32"/>
      <c r="G16" s="32"/>
      <c r="I16" s="61"/>
    </row>
    <row r="17" spans="3:9" s="22" customFormat="1" ht="16.5">
      <c r="C17" s="61"/>
      <c r="E17" s="32"/>
      <c r="F17" s="32"/>
      <c r="G17" s="32"/>
      <c r="I17" s="61"/>
    </row>
    <row r="18" spans="3:9" s="22" customFormat="1" ht="16.5">
      <c r="C18" s="61"/>
      <c r="E18" s="32"/>
      <c r="F18" s="32"/>
      <c r="G18" s="32"/>
      <c r="I18" s="61"/>
    </row>
    <row r="19" spans="3:9" s="22" customFormat="1" ht="16.5">
      <c r="C19" s="61"/>
      <c r="E19" s="32"/>
      <c r="F19" s="32"/>
      <c r="G19" s="32"/>
      <c r="I19" s="61"/>
    </row>
    <row r="20" spans="3:9" s="22" customFormat="1" ht="16.5">
      <c r="C20" s="61"/>
      <c r="E20" s="32"/>
      <c r="F20" s="32"/>
      <c r="G20" s="32"/>
      <c r="I20" s="61"/>
    </row>
    <row r="21" spans="3:9" s="22" customFormat="1" ht="16.5">
      <c r="C21" s="61"/>
      <c r="E21" s="32"/>
      <c r="F21" s="32"/>
      <c r="G21" s="32"/>
      <c r="I21" s="61"/>
    </row>
    <row r="22" spans="3:9" s="22" customFormat="1" ht="16.5">
      <c r="C22" s="61"/>
      <c r="E22" s="32"/>
      <c r="F22" s="32"/>
      <c r="G22" s="32"/>
      <c r="I22" s="61"/>
    </row>
    <row r="23" spans="3:9" s="22" customFormat="1" ht="16.5">
      <c r="C23" s="61"/>
      <c r="E23" s="32"/>
      <c r="F23" s="32"/>
      <c r="G23" s="32"/>
      <c r="I23" s="61"/>
    </row>
    <row r="24" spans="3:9" s="22" customFormat="1" ht="16.5">
      <c r="C24" s="61"/>
      <c r="E24" s="32"/>
      <c r="F24" s="32"/>
      <c r="G24" s="32"/>
      <c r="I24" s="61"/>
    </row>
    <row r="25" spans="3:9" s="22" customFormat="1" ht="16.5">
      <c r="C25" s="61"/>
      <c r="E25" s="32"/>
      <c r="F25" s="32"/>
      <c r="G25" s="32"/>
      <c r="I25" s="61"/>
    </row>
    <row r="26" spans="3:9" s="22" customFormat="1" ht="16.5">
      <c r="C26" s="61"/>
      <c r="E26" s="32"/>
      <c r="F26" s="32"/>
      <c r="G26" s="32"/>
      <c r="I26" s="61"/>
    </row>
    <row r="27" spans="3:9" s="22" customFormat="1" ht="16.5">
      <c r="C27" s="61"/>
      <c r="E27" s="32"/>
      <c r="F27" s="32"/>
      <c r="G27" s="32"/>
      <c r="I27" s="61"/>
    </row>
    <row r="28" spans="3:9" s="22" customFormat="1" ht="16.5">
      <c r="C28" s="61"/>
      <c r="E28" s="32"/>
      <c r="F28" s="32"/>
      <c r="G28" s="32"/>
      <c r="I28" s="61"/>
    </row>
    <row r="29" spans="3:9" s="22" customFormat="1" ht="16.5">
      <c r="C29" s="61"/>
      <c r="E29" s="32"/>
      <c r="F29" s="32"/>
      <c r="G29" s="32"/>
      <c r="I29" s="61"/>
    </row>
    <row r="30" spans="3:9" s="22" customFormat="1" ht="16.5">
      <c r="C30" s="61"/>
      <c r="E30" s="32"/>
      <c r="F30" s="32"/>
      <c r="G30" s="32"/>
      <c r="I30" s="61"/>
    </row>
    <row r="31" spans="3:9" s="22" customFormat="1" ht="16.5">
      <c r="C31" s="61"/>
      <c r="E31" s="32"/>
      <c r="F31" s="32"/>
      <c r="G31" s="32"/>
      <c r="I31" s="61"/>
    </row>
    <row r="32" spans="3:9" s="22" customFormat="1" ht="16.5">
      <c r="C32" s="61"/>
      <c r="E32" s="32"/>
      <c r="F32" s="32"/>
      <c r="G32" s="32"/>
      <c r="I32" s="61"/>
    </row>
    <row r="33" spans="3:9" s="22" customFormat="1" ht="16.5">
      <c r="C33" s="61"/>
      <c r="E33" s="32"/>
      <c r="F33" s="32"/>
      <c r="G33" s="32"/>
      <c r="I33" s="61"/>
    </row>
    <row r="34" spans="3:9" s="22" customFormat="1" ht="16.5">
      <c r="C34" s="61"/>
      <c r="E34" s="32"/>
      <c r="F34" s="32"/>
      <c r="G34" s="32"/>
      <c r="I34" s="61"/>
    </row>
    <row r="35" spans="3:9" s="22" customFormat="1" ht="16.5">
      <c r="C35" s="61"/>
      <c r="E35" s="32"/>
      <c r="F35" s="32"/>
      <c r="G35" s="32"/>
      <c r="I35" s="61"/>
    </row>
    <row r="36" spans="3:9" s="22" customFormat="1" ht="16.5">
      <c r="C36" s="61"/>
      <c r="E36" s="32"/>
      <c r="F36" s="32"/>
      <c r="G36" s="32"/>
      <c r="I36" s="61"/>
    </row>
    <row r="37" spans="3:9" s="22" customFormat="1" ht="16.5">
      <c r="C37" s="61"/>
      <c r="E37" s="32"/>
      <c r="F37" s="32"/>
      <c r="G37" s="32"/>
      <c r="I37" s="61"/>
    </row>
    <row r="38" spans="3:9" s="22" customFormat="1" ht="16.5">
      <c r="C38" s="61"/>
      <c r="E38" s="32"/>
      <c r="F38" s="32"/>
      <c r="G38" s="32"/>
      <c r="I38" s="61"/>
    </row>
    <row r="39" spans="3:9" s="22" customFormat="1" ht="16.5">
      <c r="C39" s="61"/>
      <c r="E39" s="32"/>
      <c r="F39" s="32"/>
      <c r="G39" s="32"/>
      <c r="I39" s="61"/>
    </row>
    <row r="40" spans="3:9" s="22" customFormat="1" ht="16.5">
      <c r="C40" s="61"/>
      <c r="E40" s="32"/>
      <c r="F40" s="32"/>
      <c r="G40" s="32"/>
      <c r="I40" s="61"/>
    </row>
    <row r="41" spans="3:9" s="22" customFormat="1" ht="16.5">
      <c r="C41" s="61"/>
      <c r="E41" s="32"/>
      <c r="F41" s="32"/>
      <c r="G41" s="32"/>
      <c r="I41" s="61"/>
    </row>
    <row r="42" spans="3:9" s="22" customFormat="1" ht="16.5">
      <c r="C42" s="61"/>
      <c r="E42" s="32"/>
      <c r="F42" s="32"/>
      <c r="G42" s="32"/>
      <c r="I42" s="61"/>
    </row>
    <row r="43" spans="3:9" s="22" customFormat="1" ht="16.5">
      <c r="C43" s="61"/>
      <c r="E43" s="32"/>
      <c r="F43" s="32"/>
      <c r="G43" s="32"/>
      <c r="I43" s="61"/>
    </row>
    <row r="44" spans="3:9" s="22" customFormat="1" ht="16.5">
      <c r="C44" s="61"/>
      <c r="E44" s="32"/>
      <c r="F44" s="32"/>
      <c r="G44" s="32"/>
      <c r="I44" s="61"/>
    </row>
    <row r="45" spans="3:9" s="22" customFormat="1" ht="16.5">
      <c r="C45" s="61"/>
      <c r="E45" s="32"/>
      <c r="F45" s="32"/>
      <c r="G45" s="32"/>
      <c r="I45" s="61"/>
    </row>
    <row r="46" spans="3:9" s="22" customFormat="1" ht="16.5">
      <c r="C46" s="61"/>
      <c r="E46" s="32"/>
      <c r="F46" s="32"/>
      <c r="G46" s="32"/>
      <c r="I46" s="61"/>
    </row>
  </sheetData>
  <sheetProtection/>
  <mergeCells count="11">
    <mergeCell ref="A1:I1"/>
    <mergeCell ref="A2:I2"/>
    <mergeCell ref="A3:I3"/>
    <mergeCell ref="H4:I4"/>
    <mergeCell ref="E5:E6"/>
    <mergeCell ref="F5:H5"/>
    <mergeCell ref="I5:I6"/>
    <mergeCell ref="A5:A6"/>
    <mergeCell ref="B5:B6"/>
    <mergeCell ref="C5:C6"/>
    <mergeCell ref="D5:D6"/>
  </mergeCells>
  <printOptions horizontalCentered="1"/>
  <pageMargins left="0" right="0" top="0.5118110236220472" bottom="0.5118110236220472"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N18"/>
  <sheetViews>
    <sheetView zoomScalePageLayoutView="0" workbookViewId="0" topLeftCell="A1">
      <selection activeCell="H10" sqref="H10"/>
    </sheetView>
  </sheetViews>
  <sheetFormatPr defaultColWidth="7.99609375" defaultRowHeight="16.5"/>
  <cols>
    <col min="1" max="1" width="3.99609375" style="82" customWidth="1"/>
    <col min="2" max="2" width="31.3359375" style="84" customWidth="1"/>
    <col min="3" max="4" width="14.21484375" style="82" customWidth="1"/>
    <col min="5" max="6" width="11.3359375" style="82" customWidth="1"/>
    <col min="7" max="7" width="8.5546875" style="82" customWidth="1"/>
    <col min="8" max="8" width="9.99609375" style="82" customWidth="1"/>
    <col min="9" max="9" width="10.10546875" style="82" customWidth="1"/>
    <col min="10" max="10" width="8.5546875" style="82" customWidth="1"/>
    <col min="11" max="11" width="9.10546875" style="82" customWidth="1"/>
    <col min="12" max="12" width="10.10546875" style="82" customWidth="1"/>
    <col min="13" max="13" width="9.88671875" style="82" customWidth="1"/>
    <col min="14" max="16384" width="7.99609375" style="82" customWidth="1"/>
  </cols>
  <sheetData>
    <row r="1" spans="1:14" ht="23.25" customHeight="1">
      <c r="A1" s="237" t="s">
        <v>605</v>
      </c>
      <c r="B1" s="237"/>
      <c r="C1" s="237"/>
      <c r="D1" s="237"/>
      <c r="E1" s="237"/>
      <c r="F1" s="237"/>
      <c r="G1" s="237"/>
      <c r="H1" s="237"/>
      <c r="I1" s="237"/>
      <c r="J1" s="237"/>
      <c r="K1" s="237"/>
      <c r="L1" s="237"/>
      <c r="M1" s="237"/>
      <c r="N1" s="237"/>
    </row>
    <row r="2" spans="1:14" ht="21.75" customHeight="1">
      <c r="A2" s="237" t="s">
        <v>502</v>
      </c>
      <c r="B2" s="237"/>
      <c r="C2" s="237"/>
      <c r="D2" s="237"/>
      <c r="E2" s="237"/>
      <c r="F2" s="237"/>
      <c r="G2" s="237"/>
      <c r="H2" s="237"/>
      <c r="I2" s="237"/>
      <c r="J2" s="237"/>
      <c r="K2" s="237"/>
      <c r="L2" s="237"/>
      <c r="M2" s="237"/>
      <c r="N2" s="237"/>
    </row>
    <row r="3" spans="1:14" ht="21.75" customHeight="1">
      <c r="A3" s="238" t="str">
        <f>'Biểu 03a'!A3:I3</f>
        <v>(Kèm theo Nghị quyết số 86/NĐ-HĐND ngày 18 tháng 12 năm 2015 của HĐND huyện Sông Mã)</v>
      </c>
      <c r="B3" s="238"/>
      <c r="C3" s="238"/>
      <c r="D3" s="238"/>
      <c r="E3" s="238"/>
      <c r="F3" s="238"/>
      <c r="G3" s="238"/>
      <c r="H3" s="238"/>
      <c r="I3" s="238"/>
      <c r="J3" s="238"/>
      <c r="K3" s="238"/>
      <c r="L3" s="238"/>
      <c r="M3" s="238"/>
      <c r="N3" s="238"/>
    </row>
    <row r="4" spans="1:14" ht="17.25" customHeight="1" thickBot="1">
      <c r="A4" s="82" t="s">
        <v>138</v>
      </c>
      <c r="K4" s="405" t="s">
        <v>149</v>
      </c>
      <c r="L4" s="405"/>
      <c r="M4" s="405"/>
      <c r="N4" s="405"/>
    </row>
    <row r="5" spans="1:14" ht="23.25" customHeight="1">
      <c r="A5" s="378" t="s">
        <v>97</v>
      </c>
      <c r="B5" s="379" t="s">
        <v>401</v>
      </c>
      <c r="C5" s="380" t="s">
        <v>334</v>
      </c>
      <c r="D5" s="380" t="s">
        <v>2</v>
      </c>
      <c r="E5" s="380" t="s">
        <v>402</v>
      </c>
      <c r="F5" s="381" t="s">
        <v>311</v>
      </c>
      <c r="G5" s="382" t="s">
        <v>403</v>
      </c>
      <c r="H5" s="382" t="s">
        <v>337</v>
      </c>
      <c r="I5" s="382" t="s">
        <v>338</v>
      </c>
      <c r="J5" s="383" t="s">
        <v>404</v>
      </c>
      <c r="K5" s="383"/>
      <c r="L5" s="383"/>
      <c r="M5" s="383"/>
      <c r="N5" s="384" t="s">
        <v>144</v>
      </c>
    </row>
    <row r="6" spans="1:14" ht="23.25" customHeight="1">
      <c r="A6" s="385"/>
      <c r="B6" s="368"/>
      <c r="C6" s="369"/>
      <c r="D6" s="369"/>
      <c r="E6" s="369"/>
      <c r="F6" s="370"/>
      <c r="G6" s="366"/>
      <c r="H6" s="366"/>
      <c r="I6" s="366"/>
      <c r="J6" s="366" t="s">
        <v>98</v>
      </c>
      <c r="K6" s="365" t="s">
        <v>102</v>
      </c>
      <c r="L6" s="365"/>
      <c r="M6" s="365"/>
      <c r="N6" s="386"/>
    </row>
    <row r="7" spans="1:14" ht="48.75" customHeight="1">
      <c r="A7" s="385"/>
      <c r="B7" s="368"/>
      <c r="C7" s="369"/>
      <c r="D7" s="369"/>
      <c r="E7" s="369"/>
      <c r="F7" s="370"/>
      <c r="G7" s="366"/>
      <c r="H7" s="366"/>
      <c r="I7" s="366"/>
      <c r="J7" s="366"/>
      <c r="K7" s="367" t="s">
        <v>405</v>
      </c>
      <c r="L7" s="367" t="s">
        <v>406</v>
      </c>
      <c r="M7" s="367" t="s">
        <v>330</v>
      </c>
      <c r="N7" s="386"/>
    </row>
    <row r="8" spans="1:14" s="122" customFormat="1" ht="26.25" customHeight="1">
      <c r="A8" s="387"/>
      <c r="B8" s="397" t="s">
        <v>524</v>
      </c>
      <c r="C8" s="371"/>
      <c r="D8" s="371"/>
      <c r="E8" s="371"/>
      <c r="F8" s="371"/>
      <c r="G8" s="399">
        <f>G9+G12</f>
        <v>7725303</v>
      </c>
      <c r="H8" s="399">
        <f aca="true" t="shared" si="0" ref="H8:M8">H9+H12</f>
        <v>3685770</v>
      </c>
      <c r="I8" s="399">
        <f t="shared" si="0"/>
        <v>4039533</v>
      </c>
      <c r="J8" s="399">
        <f t="shared" si="0"/>
        <v>2651800</v>
      </c>
      <c r="K8" s="399">
        <f t="shared" si="0"/>
        <v>300000</v>
      </c>
      <c r="L8" s="399">
        <f t="shared" si="0"/>
        <v>450000</v>
      </c>
      <c r="M8" s="399">
        <f t="shared" si="0"/>
        <v>1901800</v>
      </c>
      <c r="N8" s="400"/>
    </row>
    <row r="9" spans="1:14" s="122" customFormat="1" ht="24.75" customHeight="1">
      <c r="A9" s="387" t="s">
        <v>99</v>
      </c>
      <c r="B9" s="397" t="s">
        <v>0</v>
      </c>
      <c r="C9" s="371"/>
      <c r="D9" s="371"/>
      <c r="E9" s="371"/>
      <c r="F9" s="371"/>
      <c r="G9" s="399">
        <f>SUM(G10:G11)</f>
        <v>5606342</v>
      </c>
      <c r="H9" s="399">
        <f aca="true" t="shared" si="1" ref="H9:M9">SUM(H10:H11)</f>
        <v>3685770</v>
      </c>
      <c r="I9" s="399">
        <f t="shared" si="1"/>
        <v>1920572</v>
      </c>
      <c r="J9" s="399">
        <f t="shared" si="1"/>
        <v>1521800</v>
      </c>
      <c r="K9" s="399">
        <f t="shared" si="1"/>
        <v>300000</v>
      </c>
      <c r="L9" s="399">
        <f t="shared" si="1"/>
        <v>0</v>
      </c>
      <c r="M9" s="399">
        <f t="shared" si="1"/>
        <v>1221800</v>
      </c>
      <c r="N9" s="400"/>
    </row>
    <row r="10" spans="1:14" s="122" customFormat="1" ht="38.25" customHeight="1">
      <c r="A10" s="388">
        <v>1</v>
      </c>
      <c r="B10" s="374" t="s">
        <v>407</v>
      </c>
      <c r="C10" s="375" t="s">
        <v>3</v>
      </c>
      <c r="D10" s="375" t="s">
        <v>339</v>
      </c>
      <c r="E10" s="373" t="s">
        <v>4</v>
      </c>
      <c r="F10" s="376">
        <v>2015</v>
      </c>
      <c r="G10" s="401">
        <v>3801334</v>
      </c>
      <c r="H10" s="377">
        <v>2801770</v>
      </c>
      <c r="I10" s="377">
        <f>G10-H10</f>
        <v>999564</v>
      </c>
      <c r="J10" s="377">
        <f>SUM(K10:M10)</f>
        <v>990000</v>
      </c>
      <c r="K10" s="377">
        <v>300000</v>
      </c>
      <c r="L10" s="377"/>
      <c r="M10" s="377">
        <v>690000</v>
      </c>
      <c r="N10" s="402"/>
    </row>
    <row r="11" spans="1:14" s="122" customFormat="1" ht="113.25" customHeight="1">
      <c r="A11" s="388">
        <v>2</v>
      </c>
      <c r="B11" s="374" t="s">
        <v>408</v>
      </c>
      <c r="C11" s="375" t="s">
        <v>3</v>
      </c>
      <c r="D11" s="375" t="s">
        <v>339</v>
      </c>
      <c r="E11" s="373" t="s">
        <v>5</v>
      </c>
      <c r="F11" s="376" t="s">
        <v>6</v>
      </c>
      <c r="G11" s="401">
        <v>1805008</v>
      </c>
      <c r="H11" s="377">
        <v>884000</v>
      </c>
      <c r="I11" s="377">
        <v>921008</v>
      </c>
      <c r="J11" s="377">
        <v>531800</v>
      </c>
      <c r="K11" s="377"/>
      <c r="L11" s="377"/>
      <c r="M11" s="377">
        <v>531800</v>
      </c>
      <c r="N11" s="402"/>
    </row>
    <row r="12" spans="1:14" s="122" customFormat="1" ht="33" customHeight="1">
      <c r="A12" s="387" t="s">
        <v>100</v>
      </c>
      <c r="B12" s="398" t="s">
        <v>1</v>
      </c>
      <c r="C12" s="371"/>
      <c r="D12" s="371"/>
      <c r="E12" s="371"/>
      <c r="F12" s="371"/>
      <c r="G12" s="399">
        <f>SUM(G13:G14)</f>
        <v>2118961</v>
      </c>
      <c r="H12" s="399">
        <f aca="true" t="shared" si="2" ref="H12:M12">SUM(H13:H14)</f>
        <v>0</v>
      </c>
      <c r="I12" s="399">
        <f t="shared" si="2"/>
        <v>2118961</v>
      </c>
      <c r="J12" s="399">
        <f t="shared" si="2"/>
        <v>1130000</v>
      </c>
      <c r="K12" s="399">
        <f t="shared" si="2"/>
        <v>0</v>
      </c>
      <c r="L12" s="399">
        <f t="shared" si="2"/>
        <v>450000</v>
      </c>
      <c r="M12" s="399">
        <f t="shared" si="2"/>
        <v>680000</v>
      </c>
      <c r="N12" s="400"/>
    </row>
    <row r="13" spans="1:14" s="122" customFormat="1" ht="51" customHeight="1">
      <c r="A13" s="388">
        <v>1</v>
      </c>
      <c r="B13" s="374" t="s">
        <v>410</v>
      </c>
      <c r="C13" s="375" t="s">
        <v>3</v>
      </c>
      <c r="D13" s="375" t="s">
        <v>411</v>
      </c>
      <c r="E13" s="373" t="s">
        <v>4</v>
      </c>
      <c r="F13" s="376" t="s">
        <v>6</v>
      </c>
      <c r="G13" s="401">
        <v>1680000</v>
      </c>
      <c r="H13" s="377">
        <v>0</v>
      </c>
      <c r="I13" s="377">
        <f>+G13-H13</f>
        <v>1680000</v>
      </c>
      <c r="J13" s="377">
        <f>SUM(K13:M13)</f>
        <v>700000</v>
      </c>
      <c r="K13" s="377"/>
      <c r="L13" s="377">
        <v>450000</v>
      </c>
      <c r="M13" s="377">
        <v>250000</v>
      </c>
      <c r="N13" s="402"/>
    </row>
    <row r="14" spans="1:14" s="122" customFormat="1" ht="36.75" customHeight="1" thickBot="1">
      <c r="A14" s="390">
        <v>2</v>
      </c>
      <c r="B14" s="391" t="s">
        <v>412</v>
      </c>
      <c r="C14" s="392" t="s">
        <v>3</v>
      </c>
      <c r="D14" s="392" t="s">
        <v>413</v>
      </c>
      <c r="E14" s="393" t="s">
        <v>4</v>
      </c>
      <c r="F14" s="394" t="s">
        <v>414</v>
      </c>
      <c r="G14" s="403">
        <v>438961</v>
      </c>
      <c r="H14" s="395">
        <v>0</v>
      </c>
      <c r="I14" s="395">
        <f>+G14-H14</f>
        <v>438961</v>
      </c>
      <c r="J14" s="395">
        <f>SUM(K14:M14)</f>
        <v>430000</v>
      </c>
      <c r="K14" s="395"/>
      <c r="L14" s="395"/>
      <c r="M14" s="395">
        <v>430000</v>
      </c>
      <c r="N14" s="404"/>
    </row>
    <row r="15" spans="2:13" s="122" customFormat="1" ht="12.75">
      <c r="B15" s="123"/>
      <c r="F15" s="124"/>
      <c r="G15" s="125"/>
      <c r="H15" s="125"/>
      <c r="I15" s="125"/>
      <c r="J15" s="125"/>
      <c r="K15" s="125"/>
      <c r="L15" s="125"/>
      <c r="M15" s="125"/>
    </row>
    <row r="16" spans="2:13" s="122" customFormat="1" ht="12.75">
      <c r="B16" s="123"/>
      <c r="F16" s="124"/>
      <c r="G16" s="125"/>
      <c r="H16" s="125"/>
      <c r="I16" s="125"/>
      <c r="J16" s="125"/>
      <c r="K16" s="125"/>
      <c r="L16" s="125"/>
      <c r="M16" s="125"/>
    </row>
    <row r="17" spans="6:13" ht="15.75">
      <c r="F17" s="126"/>
      <c r="G17" s="127"/>
      <c r="H17" s="127"/>
      <c r="I17" s="127"/>
      <c r="J17" s="127"/>
      <c r="K17" s="127"/>
      <c r="L17" s="127"/>
      <c r="M17" s="127"/>
    </row>
    <row r="18" spans="6:13" ht="15.75">
      <c r="F18" s="126"/>
      <c r="G18" s="127"/>
      <c r="H18" s="127"/>
      <c r="I18" s="127"/>
      <c r="J18" s="127"/>
      <c r="K18" s="127"/>
      <c r="L18" s="127"/>
      <c r="M18" s="127"/>
    </row>
  </sheetData>
  <sheetProtection/>
  <mergeCells count="17">
    <mergeCell ref="K4:N4"/>
    <mergeCell ref="N5:N7"/>
    <mergeCell ref="J6:J7"/>
    <mergeCell ref="K6:M6"/>
    <mergeCell ref="A1:N1"/>
    <mergeCell ref="A2:N2"/>
    <mergeCell ref="A3:N3"/>
    <mergeCell ref="A5:A7"/>
    <mergeCell ref="B5:B7"/>
    <mergeCell ref="C5:C7"/>
    <mergeCell ref="J5:M5"/>
    <mergeCell ref="D5:D7"/>
    <mergeCell ref="E5:E7"/>
    <mergeCell ref="F5:F7"/>
    <mergeCell ref="G5:G7"/>
    <mergeCell ref="H5:H7"/>
    <mergeCell ref="I5:I7"/>
  </mergeCells>
  <printOptions horizontalCentered="1"/>
  <pageMargins left="0" right="0" top="0.5118110236220472" bottom="0.5118110236220472" header="0.31496062992125984" footer="0.3149606299212598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N31"/>
  <sheetViews>
    <sheetView zoomScalePageLayoutView="0" workbookViewId="0" topLeftCell="A1">
      <selection activeCell="D15" sqref="D15"/>
    </sheetView>
  </sheetViews>
  <sheetFormatPr defaultColWidth="8.88671875" defaultRowHeight="16.5"/>
  <cols>
    <col min="1" max="1" width="4.6640625" style="86" customWidth="1"/>
    <col min="2" max="2" width="31.4453125" style="86" customWidth="1"/>
    <col min="3" max="3" width="10.21484375" style="86" customWidth="1"/>
    <col min="4" max="4" width="9.4453125" style="86" customWidth="1"/>
    <col min="5" max="6" width="9.10546875" style="86" customWidth="1"/>
    <col min="7" max="7" width="9.99609375" style="86" customWidth="1"/>
    <col min="8" max="8" width="9.10546875" style="86" customWidth="1"/>
    <col min="9" max="9" width="9.3359375" style="86" customWidth="1"/>
    <col min="10" max="10" width="8.5546875" style="86" customWidth="1"/>
    <col min="11" max="11" width="11.3359375" style="86" customWidth="1"/>
    <col min="12" max="12" width="9.5546875" style="86" customWidth="1"/>
    <col min="13" max="13" width="11.4453125" style="91" customWidth="1"/>
    <col min="14" max="14" width="10.4453125" style="91" customWidth="1"/>
    <col min="15" max="16384" width="8.88671875" style="86" customWidth="1"/>
  </cols>
  <sheetData>
    <row r="1" spans="1:14" ht="18" customHeight="1">
      <c r="A1" s="239" t="s">
        <v>7</v>
      </c>
      <c r="B1" s="239"/>
      <c r="C1" s="239"/>
      <c r="D1" s="239"/>
      <c r="E1" s="239"/>
      <c r="F1" s="239"/>
      <c r="G1" s="239"/>
      <c r="H1" s="239"/>
      <c r="I1" s="239"/>
      <c r="J1" s="239"/>
      <c r="K1" s="239"/>
      <c r="L1" s="239"/>
      <c r="M1" s="239"/>
      <c r="N1" s="239"/>
    </row>
    <row r="2" spans="1:14" ht="19.5" customHeight="1">
      <c r="A2" s="239" t="s">
        <v>503</v>
      </c>
      <c r="B2" s="239"/>
      <c r="C2" s="239"/>
      <c r="D2" s="239"/>
      <c r="E2" s="239"/>
      <c r="F2" s="239"/>
      <c r="G2" s="239"/>
      <c r="H2" s="239"/>
      <c r="I2" s="239"/>
      <c r="J2" s="239"/>
      <c r="K2" s="239"/>
      <c r="L2" s="239"/>
      <c r="M2" s="239"/>
      <c r="N2" s="239"/>
    </row>
    <row r="3" spans="1:14" ht="19.5" customHeight="1">
      <c r="A3" s="239" t="s">
        <v>340</v>
      </c>
      <c r="B3" s="239"/>
      <c r="C3" s="239"/>
      <c r="D3" s="239"/>
      <c r="E3" s="239"/>
      <c r="F3" s="239"/>
      <c r="G3" s="239"/>
      <c r="H3" s="239"/>
      <c r="I3" s="239"/>
      <c r="J3" s="239"/>
      <c r="K3" s="239"/>
      <c r="L3" s="239"/>
      <c r="M3" s="239"/>
      <c r="N3" s="239"/>
    </row>
    <row r="4" spans="1:14" ht="19.5" customHeight="1">
      <c r="A4" s="240" t="str">
        <f>'Biểu 03b'!A3:N3</f>
        <v>(Kèm theo Nghị quyết số 86/NĐ-HĐND ngày 18 tháng 12 năm 2015 của HĐND huyện Sông Mã)</v>
      </c>
      <c r="B4" s="240"/>
      <c r="C4" s="240"/>
      <c r="D4" s="240"/>
      <c r="E4" s="240"/>
      <c r="F4" s="240"/>
      <c r="G4" s="240"/>
      <c r="H4" s="240"/>
      <c r="I4" s="240"/>
      <c r="J4" s="240"/>
      <c r="K4" s="240"/>
      <c r="L4" s="240"/>
      <c r="M4" s="240"/>
      <c r="N4" s="240"/>
    </row>
    <row r="5" spans="1:14" ht="18" customHeight="1" thickBot="1">
      <c r="A5" s="406"/>
      <c r="B5" s="406"/>
      <c r="C5" s="406"/>
      <c r="D5" s="406"/>
      <c r="E5" s="406"/>
      <c r="F5" s="406"/>
      <c r="G5" s="406"/>
      <c r="H5" s="406"/>
      <c r="I5" s="406"/>
      <c r="J5" s="406"/>
      <c r="K5" s="406"/>
      <c r="L5" s="406"/>
      <c r="M5" s="345" t="s">
        <v>149</v>
      </c>
      <c r="N5" s="345"/>
    </row>
    <row r="6" spans="1:14" s="14" customFormat="1" ht="24.75" customHeight="1">
      <c r="A6" s="407" t="s">
        <v>97</v>
      </c>
      <c r="B6" s="380" t="s">
        <v>341</v>
      </c>
      <c r="C6" s="380" t="s">
        <v>342</v>
      </c>
      <c r="D6" s="380"/>
      <c r="E6" s="380"/>
      <c r="F6" s="380"/>
      <c r="G6" s="380"/>
      <c r="H6" s="380"/>
      <c r="I6" s="380"/>
      <c r="J6" s="380"/>
      <c r="K6" s="380" t="s">
        <v>343</v>
      </c>
      <c r="L6" s="380"/>
      <c r="M6" s="380"/>
      <c r="N6" s="408"/>
    </row>
    <row r="7" spans="1:14" s="14" customFormat="1" ht="18.75" customHeight="1">
      <c r="A7" s="409"/>
      <c r="B7" s="369"/>
      <c r="C7" s="369" t="s">
        <v>344</v>
      </c>
      <c r="D7" s="369"/>
      <c r="E7" s="369"/>
      <c r="F7" s="369"/>
      <c r="G7" s="369" t="s">
        <v>345</v>
      </c>
      <c r="H7" s="369"/>
      <c r="I7" s="369"/>
      <c r="J7" s="369"/>
      <c r="K7" s="369" t="s">
        <v>8</v>
      </c>
      <c r="L7" s="283" t="s">
        <v>102</v>
      </c>
      <c r="M7" s="283"/>
      <c r="N7" s="410"/>
    </row>
    <row r="8" spans="1:14" s="14" customFormat="1" ht="15" customHeight="1">
      <c r="A8" s="409"/>
      <c r="B8" s="369"/>
      <c r="C8" s="369" t="s">
        <v>98</v>
      </c>
      <c r="D8" s="369" t="s">
        <v>102</v>
      </c>
      <c r="E8" s="369"/>
      <c r="F8" s="369"/>
      <c r="G8" s="369" t="s">
        <v>98</v>
      </c>
      <c r="H8" s="369" t="s">
        <v>102</v>
      </c>
      <c r="I8" s="369"/>
      <c r="J8" s="369"/>
      <c r="K8" s="369"/>
      <c r="L8" s="283"/>
      <c r="M8" s="283"/>
      <c r="N8" s="410"/>
    </row>
    <row r="9" spans="1:14" s="14" customFormat="1" ht="98.25" customHeight="1">
      <c r="A9" s="409"/>
      <c r="B9" s="369"/>
      <c r="C9" s="369"/>
      <c r="D9" s="411" t="s">
        <v>14</v>
      </c>
      <c r="E9" s="411" t="s">
        <v>15</v>
      </c>
      <c r="F9" s="411" t="s">
        <v>346</v>
      </c>
      <c r="G9" s="369"/>
      <c r="H9" s="411" t="s">
        <v>14</v>
      </c>
      <c r="I9" s="411" t="s">
        <v>15</v>
      </c>
      <c r="J9" s="411" t="s">
        <v>346</v>
      </c>
      <c r="K9" s="369"/>
      <c r="L9" s="302" t="s">
        <v>9</v>
      </c>
      <c r="M9" s="302" t="s">
        <v>10</v>
      </c>
      <c r="N9" s="412" t="s">
        <v>11</v>
      </c>
    </row>
    <row r="10" spans="1:14" s="87" customFormat="1" ht="18.75" customHeight="1">
      <c r="A10" s="413" t="s">
        <v>146</v>
      </c>
      <c r="B10" s="414" t="s">
        <v>145</v>
      </c>
      <c r="C10" s="414">
        <v>1</v>
      </c>
      <c r="D10" s="414">
        <v>2</v>
      </c>
      <c r="E10" s="414">
        <v>3</v>
      </c>
      <c r="F10" s="414">
        <v>4</v>
      </c>
      <c r="G10" s="414">
        <v>5</v>
      </c>
      <c r="H10" s="414">
        <v>6</v>
      </c>
      <c r="I10" s="414">
        <v>7</v>
      </c>
      <c r="J10" s="414">
        <v>8</v>
      </c>
      <c r="K10" s="414" t="s">
        <v>347</v>
      </c>
      <c r="L10" s="414">
        <v>10</v>
      </c>
      <c r="M10" s="414">
        <v>11</v>
      </c>
      <c r="N10" s="415">
        <v>12</v>
      </c>
    </row>
    <row r="11" spans="1:14" s="88" customFormat="1" ht="30.75" customHeight="1">
      <c r="A11" s="416"/>
      <c r="B11" s="418" t="s">
        <v>524</v>
      </c>
      <c r="C11" s="417">
        <f>SUM(C14:C31)</f>
        <v>1964.1292599999997</v>
      </c>
      <c r="D11" s="417">
        <f aca="true" t="shared" si="0" ref="D11:J11">SUM(D14:D31)</f>
        <v>900.8184</v>
      </c>
      <c r="E11" s="417">
        <f t="shared" si="0"/>
        <v>986.6025600000003</v>
      </c>
      <c r="F11" s="417">
        <f t="shared" si="0"/>
        <v>76.70830000000001</v>
      </c>
      <c r="G11" s="417">
        <f t="shared" si="0"/>
        <v>1423.0078499999997</v>
      </c>
      <c r="H11" s="417">
        <f t="shared" si="0"/>
        <v>580.63995</v>
      </c>
      <c r="I11" s="417">
        <f t="shared" si="0"/>
        <v>753.4938</v>
      </c>
      <c r="J11" s="417">
        <f t="shared" si="0"/>
        <v>88.8741</v>
      </c>
      <c r="K11" s="431">
        <f>K12+K13</f>
        <v>842000</v>
      </c>
      <c r="L11" s="431">
        <f>L12+L13</f>
        <v>433880</v>
      </c>
      <c r="M11" s="431">
        <f>M12+M13</f>
        <v>282585</v>
      </c>
      <c r="N11" s="432">
        <f>N12+N13</f>
        <v>125535</v>
      </c>
    </row>
    <row r="12" spans="1:14" s="89" customFormat="1" ht="22.5" customHeight="1">
      <c r="A12" s="419" t="s">
        <v>99</v>
      </c>
      <c r="B12" s="420" t="s">
        <v>12</v>
      </c>
      <c r="C12" s="417"/>
      <c r="D12" s="417"/>
      <c r="E12" s="417"/>
      <c r="F12" s="417"/>
      <c r="G12" s="417"/>
      <c r="H12" s="417"/>
      <c r="I12" s="417"/>
      <c r="J12" s="417"/>
      <c r="K12" s="431">
        <f>SUM(L12:N12)</f>
        <v>433880</v>
      </c>
      <c r="L12" s="431">
        <v>433880</v>
      </c>
      <c r="M12" s="431"/>
      <c r="N12" s="432"/>
    </row>
    <row r="13" spans="1:14" s="89" customFormat="1" ht="30.75" customHeight="1">
      <c r="A13" s="419" t="s">
        <v>100</v>
      </c>
      <c r="B13" s="420" t="s">
        <v>13</v>
      </c>
      <c r="C13" s="417"/>
      <c r="D13" s="417"/>
      <c r="E13" s="417"/>
      <c r="F13" s="417"/>
      <c r="G13" s="417"/>
      <c r="H13" s="417"/>
      <c r="I13" s="417"/>
      <c r="J13" s="417"/>
      <c r="K13" s="431">
        <f>SUM(K14:K31)</f>
        <v>408120</v>
      </c>
      <c r="L13" s="431">
        <f>SUM(L14:L31)</f>
        <v>0</v>
      </c>
      <c r="M13" s="431">
        <f>SUM(M14:M31)</f>
        <v>282585</v>
      </c>
      <c r="N13" s="432">
        <f>SUM(N14:N31)</f>
        <v>125535</v>
      </c>
    </row>
    <row r="14" spans="1:14" s="90" customFormat="1" ht="21.75" customHeight="1">
      <c r="A14" s="421">
        <v>1</v>
      </c>
      <c r="B14" s="422" t="s">
        <v>117</v>
      </c>
      <c r="C14" s="423">
        <v>18.0544</v>
      </c>
      <c r="D14" s="424">
        <v>8.8772</v>
      </c>
      <c r="E14" s="424">
        <v>8.8772</v>
      </c>
      <c r="F14" s="424">
        <v>0.3</v>
      </c>
      <c r="G14" s="424">
        <v>28.566999999999997</v>
      </c>
      <c r="H14" s="424">
        <v>13.166999999999998</v>
      </c>
      <c r="I14" s="424">
        <v>13.166999999999998</v>
      </c>
      <c r="J14" s="424">
        <v>2.2329999999999997</v>
      </c>
      <c r="K14" s="433">
        <f>SUM(L14:N14)</f>
        <v>5099</v>
      </c>
      <c r="L14" s="433"/>
      <c r="M14" s="433">
        <v>2543</v>
      </c>
      <c r="N14" s="434">
        <v>2556</v>
      </c>
    </row>
    <row r="15" spans="1:14" s="90" customFormat="1" ht="21.75" customHeight="1">
      <c r="A15" s="421">
        <v>2</v>
      </c>
      <c r="B15" s="422" t="s">
        <v>120</v>
      </c>
      <c r="C15" s="423">
        <v>88.6424</v>
      </c>
      <c r="D15" s="424">
        <v>36.4915</v>
      </c>
      <c r="E15" s="424">
        <v>49.361999999999995</v>
      </c>
      <c r="F15" s="424">
        <v>2.7889</v>
      </c>
      <c r="G15" s="424">
        <v>48.6681</v>
      </c>
      <c r="H15" s="424">
        <v>22.0661</v>
      </c>
      <c r="I15" s="424">
        <v>24.3937</v>
      </c>
      <c r="J15" s="424">
        <v>2.2083000000000004</v>
      </c>
      <c r="K15" s="433">
        <f aca="true" t="shared" si="1" ref="K15:K31">SUM(L15:N15)</f>
        <v>16888</v>
      </c>
      <c r="L15" s="433"/>
      <c r="M15" s="433">
        <v>12662</v>
      </c>
      <c r="N15" s="434">
        <v>4226</v>
      </c>
    </row>
    <row r="16" spans="1:14" s="90" customFormat="1" ht="21.75" customHeight="1">
      <c r="A16" s="421">
        <v>3</v>
      </c>
      <c r="B16" s="422" t="s">
        <v>115</v>
      </c>
      <c r="C16" s="423">
        <v>252.82629999999997</v>
      </c>
      <c r="D16" s="424">
        <v>120.7344</v>
      </c>
      <c r="E16" s="424">
        <v>120.7344</v>
      </c>
      <c r="F16" s="424">
        <v>11.3575</v>
      </c>
      <c r="G16" s="424">
        <v>94.5025</v>
      </c>
      <c r="H16" s="424">
        <v>43.77550000000001</v>
      </c>
      <c r="I16" s="424">
        <v>44.7912</v>
      </c>
      <c r="J16" s="425">
        <v>5.9358</v>
      </c>
      <c r="K16" s="433">
        <f t="shared" si="1"/>
        <v>44915</v>
      </c>
      <c r="L16" s="433"/>
      <c r="M16" s="433">
        <v>36575</v>
      </c>
      <c r="N16" s="434">
        <v>8340</v>
      </c>
    </row>
    <row r="17" spans="1:14" s="90" customFormat="1" ht="21.75" customHeight="1">
      <c r="A17" s="421">
        <v>4</v>
      </c>
      <c r="B17" s="426" t="s">
        <v>119</v>
      </c>
      <c r="C17" s="423">
        <v>343.85540000000003</v>
      </c>
      <c r="D17" s="424">
        <v>164.19080000000002</v>
      </c>
      <c r="E17" s="424">
        <v>175.5849</v>
      </c>
      <c r="F17" s="424">
        <v>4.0797</v>
      </c>
      <c r="G17" s="424">
        <v>80.90129999999999</v>
      </c>
      <c r="H17" s="424">
        <v>39.406499999999994</v>
      </c>
      <c r="I17" s="424">
        <v>41.340799999999994</v>
      </c>
      <c r="J17" s="424">
        <v>0.154</v>
      </c>
      <c r="K17" s="433">
        <f t="shared" si="1"/>
        <v>54950</v>
      </c>
      <c r="L17" s="433"/>
      <c r="M17" s="433">
        <v>48210</v>
      </c>
      <c r="N17" s="434">
        <v>6740</v>
      </c>
    </row>
    <row r="18" spans="1:14" s="90" customFormat="1" ht="21.75" customHeight="1">
      <c r="A18" s="421">
        <v>5</v>
      </c>
      <c r="B18" s="426" t="s">
        <v>118</v>
      </c>
      <c r="C18" s="423">
        <v>33.1078</v>
      </c>
      <c r="D18" s="424">
        <v>12.0778</v>
      </c>
      <c r="E18" s="424">
        <v>17.285</v>
      </c>
      <c r="F18" s="424">
        <v>3.745</v>
      </c>
      <c r="G18" s="424">
        <v>117.50309999999999</v>
      </c>
      <c r="H18" s="424">
        <v>34.985</v>
      </c>
      <c r="I18" s="424">
        <v>68.72409999999999</v>
      </c>
      <c r="J18" s="424">
        <v>13.794</v>
      </c>
      <c r="K18" s="433">
        <f t="shared" si="1"/>
        <v>15982</v>
      </c>
      <c r="L18" s="433"/>
      <c r="M18" s="433">
        <v>5094</v>
      </c>
      <c r="N18" s="434">
        <v>10888</v>
      </c>
    </row>
    <row r="19" spans="1:14" s="90" customFormat="1" ht="21.75" customHeight="1">
      <c r="A19" s="421">
        <v>6</v>
      </c>
      <c r="B19" s="426" t="s">
        <v>114</v>
      </c>
      <c r="C19" s="423">
        <v>260.3587</v>
      </c>
      <c r="D19" s="424">
        <v>125.59440000000001</v>
      </c>
      <c r="E19" s="424">
        <v>131.1893</v>
      </c>
      <c r="F19" s="424">
        <v>3.575</v>
      </c>
      <c r="G19" s="424">
        <v>156.0036</v>
      </c>
      <c r="H19" s="424">
        <v>74.788</v>
      </c>
      <c r="I19" s="424">
        <v>76.97059999999999</v>
      </c>
      <c r="J19" s="424">
        <v>4.245</v>
      </c>
      <c r="K19" s="433">
        <f t="shared" si="1"/>
        <v>49886</v>
      </c>
      <c r="L19" s="433"/>
      <c r="M19" s="433">
        <v>36569</v>
      </c>
      <c r="N19" s="434">
        <v>13317</v>
      </c>
    </row>
    <row r="20" spans="1:14" s="90" customFormat="1" ht="21.75" customHeight="1">
      <c r="A20" s="421">
        <v>7</v>
      </c>
      <c r="B20" s="426" t="s">
        <v>116</v>
      </c>
      <c r="C20" s="423">
        <v>44.012</v>
      </c>
      <c r="D20" s="424">
        <v>20.401</v>
      </c>
      <c r="E20" s="424">
        <v>20.401</v>
      </c>
      <c r="F20" s="424">
        <v>3.21</v>
      </c>
      <c r="G20" s="424">
        <v>57.569799999999994</v>
      </c>
      <c r="H20" s="424">
        <v>25.211899999999996</v>
      </c>
      <c r="I20" s="424">
        <v>25.211899999999996</v>
      </c>
      <c r="J20" s="424">
        <v>7.146000000000001</v>
      </c>
      <c r="K20" s="433">
        <f t="shared" si="1"/>
        <v>11899</v>
      </c>
      <c r="L20" s="433"/>
      <c r="M20" s="433">
        <v>6533</v>
      </c>
      <c r="N20" s="434">
        <v>5366</v>
      </c>
    </row>
    <row r="21" spans="1:14" s="90" customFormat="1" ht="21.75" customHeight="1">
      <c r="A21" s="421">
        <v>8</v>
      </c>
      <c r="B21" s="426" t="s">
        <v>113</v>
      </c>
      <c r="C21" s="423">
        <v>12.59</v>
      </c>
      <c r="D21" s="424">
        <v>0</v>
      </c>
      <c r="E21" s="424">
        <v>12.59</v>
      </c>
      <c r="F21" s="424">
        <v>0</v>
      </c>
      <c r="G21" s="424">
        <v>80.63839999999999</v>
      </c>
      <c r="H21" s="424">
        <v>12.075</v>
      </c>
      <c r="I21" s="424">
        <v>62.58439999999999</v>
      </c>
      <c r="J21" s="424">
        <v>5.979</v>
      </c>
      <c r="K21" s="433">
        <f t="shared" si="1"/>
        <v>8935</v>
      </c>
      <c r="L21" s="433"/>
      <c r="M21" s="433">
        <v>1745</v>
      </c>
      <c r="N21" s="434">
        <v>7190</v>
      </c>
    </row>
    <row r="22" spans="1:14" s="90" customFormat="1" ht="21.75" customHeight="1">
      <c r="A22" s="421">
        <v>9</v>
      </c>
      <c r="B22" s="426" t="s">
        <v>112</v>
      </c>
      <c r="C22" s="423">
        <v>84.05720000000001</v>
      </c>
      <c r="D22" s="424">
        <v>40.0247</v>
      </c>
      <c r="E22" s="424">
        <v>40.0247</v>
      </c>
      <c r="F22" s="424">
        <v>4.0078</v>
      </c>
      <c r="G22" s="424">
        <v>148.2941</v>
      </c>
      <c r="H22" s="424">
        <v>62.1631</v>
      </c>
      <c r="I22" s="424">
        <v>70.6355</v>
      </c>
      <c r="J22" s="424">
        <v>15.495500000000002</v>
      </c>
      <c r="K22" s="433">
        <f t="shared" si="1"/>
        <v>25778</v>
      </c>
      <c r="L22" s="433"/>
      <c r="M22" s="433">
        <v>12191</v>
      </c>
      <c r="N22" s="434">
        <v>13587</v>
      </c>
    </row>
    <row r="23" spans="1:14" s="90" customFormat="1" ht="21.75" customHeight="1">
      <c r="A23" s="421">
        <v>10</v>
      </c>
      <c r="B23" s="426" t="s">
        <v>111</v>
      </c>
      <c r="C23" s="423">
        <v>320.94336</v>
      </c>
      <c r="D23" s="424">
        <v>138.9571</v>
      </c>
      <c r="E23" s="424">
        <v>147.58326</v>
      </c>
      <c r="F23" s="424">
        <v>34.403</v>
      </c>
      <c r="G23" s="424">
        <v>74.77239999999999</v>
      </c>
      <c r="H23" s="424">
        <v>32.3564</v>
      </c>
      <c r="I23" s="424">
        <v>34.771</v>
      </c>
      <c r="J23" s="424">
        <v>7.645</v>
      </c>
      <c r="K23" s="433">
        <f t="shared" si="1"/>
        <v>55962</v>
      </c>
      <c r="L23" s="433"/>
      <c r="M23" s="433">
        <v>49125</v>
      </c>
      <c r="N23" s="434">
        <v>6837</v>
      </c>
    </row>
    <row r="24" spans="1:14" s="90" customFormat="1" ht="21.75" customHeight="1">
      <c r="A24" s="421">
        <v>11</v>
      </c>
      <c r="B24" s="426" t="s">
        <v>110</v>
      </c>
      <c r="C24" s="423">
        <v>110.717</v>
      </c>
      <c r="D24" s="424">
        <v>54.2928</v>
      </c>
      <c r="E24" s="424">
        <v>54.2928</v>
      </c>
      <c r="F24" s="424">
        <v>2.1314</v>
      </c>
      <c r="G24" s="424">
        <v>107.15355</v>
      </c>
      <c r="H24" s="424">
        <v>49.154349999999994</v>
      </c>
      <c r="I24" s="424">
        <v>55.2621</v>
      </c>
      <c r="J24" s="424">
        <v>2.7371000000000003</v>
      </c>
      <c r="K24" s="433">
        <f t="shared" si="1"/>
        <v>24766</v>
      </c>
      <c r="L24" s="433"/>
      <c r="M24" s="433">
        <v>15633</v>
      </c>
      <c r="N24" s="434">
        <v>9133</v>
      </c>
    </row>
    <row r="25" spans="1:14" s="90" customFormat="1" ht="21.75" customHeight="1">
      <c r="A25" s="421">
        <v>12</v>
      </c>
      <c r="B25" s="426" t="s">
        <v>107</v>
      </c>
      <c r="C25" s="423">
        <v>99.6072</v>
      </c>
      <c r="D25" s="424">
        <v>49.301100000000005</v>
      </c>
      <c r="E25" s="424">
        <v>49.301100000000005</v>
      </c>
      <c r="F25" s="424">
        <v>1.005</v>
      </c>
      <c r="G25" s="424">
        <v>25.8444</v>
      </c>
      <c r="H25" s="424">
        <v>10.0864</v>
      </c>
      <c r="I25" s="424">
        <v>14.453</v>
      </c>
      <c r="J25" s="424">
        <v>1.305</v>
      </c>
      <c r="K25" s="433">
        <f t="shared" si="1"/>
        <v>16197</v>
      </c>
      <c r="L25" s="433"/>
      <c r="M25" s="433">
        <v>13942</v>
      </c>
      <c r="N25" s="434">
        <v>2255</v>
      </c>
    </row>
    <row r="26" spans="1:14" s="90" customFormat="1" ht="21.75" customHeight="1">
      <c r="A26" s="421">
        <v>13</v>
      </c>
      <c r="B26" s="426" t="s">
        <v>109</v>
      </c>
      <c r="C26" s="423">
        <v>58.9558</v>
      </c>
      <c r="D26" s="424">
        <v>23.8983</v>
      </c>
      <c r="E26" s="424">
        <v>35.0575</v>
      </c>
      <c r="F26" s="424">
        <v>0</v>
      </c>
      <c r="G26" s="424">
        <v>91.87639999999999</v>
      </c>
      <c r="H26" s="424">
        <v>42.3575</v>
      </c>
      <c r="I26" s="424">
        <v>49.518899999999995</v>
      </c>
      <c r="J26" s="424">
        <v>0</v>
      </c>
      <c r="K26" s="433">
        <f t="shared" si="1"/>
        <v>15813</v>
      </c>
      <c r="L26" s="433"/>
      <c r="M26" s="433">
        <v>8172</v>
      </c>
      <c r="N26" s="434">
        <v>7641</v>
      </c>
    </row>
    <row r="27" spans="1:14" s="90" customFormat="1" ht="21.75" customHeight="1">
      <c r="A27" s="421">
        <v>14</v>
      </c>
      <c r="B27" s="426" t="s">
        <v>106</v>
      </c>
      <c r="C27" s="423">
        <v>71.4552</v>
      </c>
      <c r="D27" s="424">
        <v>34.4576</v>
      </c>
      <c r="E27" s="424">
        <v>36.2376</v>
      </c>
      <c r="F27" s="424">
        <v>0.76</v>
      </c>
      <c r="G27" s="424">
        <v>82.1776</v>
      </c>
      <c r="H27" s="424">
        <v>40.0678</v>
      </c>
      <c r="I27" s="424">
        <v>40.0678</v>
      </c>
      <c r="J27" s="424">
        <v>2.042</v>
      </c>
      <c r="K27" s="433">
        <f t="shared" si="1"/>
        <v>17006</v>
      </c>
      <c r="L27" s="433"/>
      <c r="M27" s="433">
        <v>10007</v>
      </c>
      <c r="N27" s="434">
        <v>6999</v>
      </c>
    </row>
    <row r="28" spans="1:14" s="90" customFormat="1" ht="21.75" customHeight="1">
      <c r="A28" s="421">
        <v>15</v>
      </c>
      <c r="B28" s="426" t="s">
        <v>104</v>
      </c>
      <c r="C28" s="423">
        <v>17.601</v>
      </c>
      <c r="D28" s="424">
        <v>8.558</v>
      </c>
      <c r="E28" s="424">
        <v>8.558</v>
      </c>
      <c r="F28" s="424">
        <v>0.485</v>
      </c>
      <c r="G28" s="424">
        <v>74.89569999999999</v>
      </c>
      <c r="H28" s="424">
        <v>36.336099999999995</v>
      </c>
      <c r="I28" s="424">
        <v>36.336099999999995</v>
      </c>
      <c r="J28" s="424">
        <v>2.2235</v>
      </c>
      <c r="K28" s="433">
        <f t="shared" si="1"/>
        <v>8914</v>
      </c>
      <c r="L28" s="433"/>
      <c r="M28" s="433">
        <v>2505</v>
      </c>
      <c r="N28" s="434">
        <v>6409</v>
      </c>
    </row>
    <row r="29" spans="1:14" s="90" customFormat="1" ht="21.75" customHeight="1">
      <c r="A29" s="421">
        <v>16</v>
      </c>
      <c r="B29" s="426" t="s">
        <v>139</v>
      </c>
      <c r="C29" s="423">
        <v>10.2376</v>
      </c>
      <c r="D29" s="424">
        <v>4.9188</v>
      </c>
      <c r="E29" s="424">
        <v>4.9188</v>
      </c>
      <c r="F29" s="424">
        <v>0.4</v>
      </c>
      <c r="G29" s="424">
        <v>16.3625</v>
      </c>
      <c r="H29" s="424">
        <v>0.5602</v>
      </c>
      <c r="I29" s="424">
        <v>7.8774</v>
      </c>
      <c r="J29" s="424">
        <v>7.9249</v>
      </c>
      <c r="K29" s="433">
        <f t="shared" si="1"/>
        <v>3475</v>
      </c>
      <c r="L29" s="433"/>
      <c r="M29" s="433">
        <v>1473</v>
      </c>
      <c r="N29" s="434">
        <v>2002</v>
      </c>
    </row>
    <row r="30" spans="1:14" s="90" customFormat="1" ht="21.75" customHeight="1">
      <c r="A30" s="421">
        <v>17</v>
      </c>
      <c r="B30" s="426" t="s">
        <v>105</v>
      </c>
      <c r="C30" s="423">
        <v>56.290499999999994</v>
      </c>
      <c r="D30" s="424">
        <v>22.988799999999998</v>
      </c>
      <c r="E30" s="424">
        <v>31.1617</v>
      </c>
      <c r="F30" s="424">
        <v>2.14</v>
      </c>
      <c r="G30" s="424">
        <v>100.08429999999998</v>
      </c>
      <c r="H30" s="424">
        <v>26.723000000000003</v>
      </c>
      <c r="I30" s="424">
        <v>69.38029999999999</v>
      </c>
      <c r="J30" s="424">
        <v>3.981</v>
      </c>
      <c r="K30" s="433">
        <f t="shared" si="1"/>
        <v>16737</v>
      </c>
      <c r="L30" s="433"/>
      <c r="M30" s="433">
        <v>8091</v>
      </c>
      <c r="N30" s="434">
        <v>8646</v>
      </c>
    </row>
    <row r="31" spans="1:14" s="90" customFormat="1" ht="21.75" customHeight="1" thickBot="1">
      <c r="A31" s="427">
        <v>18</v>
      </c>
      <c r="B31" s="428" t="s">
        <v>108</v>
      </c>
      <c r="C31" s="429">
        <v>80.81739999999999</v>
      </c>
      <c r="D31" s="430">
        <v>35.0541</v>
      </c>
      <c r="E31" s="430">
        <v>43.4433</v>
      </c>
      <c r="F31" s="430">
        <v>2.32</v>
      </c>
      <c r="G31" s="430">
        <v>37.19310000000001</v>
      </c>
      <c r="H31" s="430">
        <v>15.360100000000001</v>
      </c>
      <c r="I31" s="430">
        <v>18.008000000000003</v>
      </c>
      <c r="J31" s="430">
        <v>3.825</v>
      </c>
      <c r="K31" s="435">
        <f t="shared" si="1"/>
        <v>14918</v>
      </c>
      <c r="L31" s="435"/>
      <c r="M31" s="435">
        <v>11515</v>
      </c>
      <c r="N31" s="436">
        <v>3403</v>
      </c>
    </row>
  </sheetData>
  <sheetProtection/>
  <mergeCells count="17">
    <mergeCell ref="G8:G9"/>
    <mergeCell ref="H8:J8"/>
    <mergeCell ref="M5:N5"/>
    <mergeCell ref="A1:N1"/>
    <mergeCell ref="A2:N2"/>
    <mergeCell ref="A3:N3"/>
    <mergeCell ref="A4:N4"/>
    <mergeCell ref="A6:A9"/>
    <mergeCell ref="B6:B9"/>
    <mergeCell ref="C6:J6"/>
    <mergeCell ref="K6:N6"/>
    <mergeCell ref="C7:F7"/>
    <mergeCell ref="G7:J7"/>
    <mergeCell ref="K7:K9"/>
    <mergeCell ref="L7:N8"/>
    <mergeCell ref="C8:C9"/>
    <mergeCell ref="D8:F8"/>
  </mergeCells>
  <printOptions horizontalCentered="1"/>
  <pageMargins left="0" right="0" top="0.5" bottom="0.5" header="0.3" footer="0.3"/>
  <pageSetup horizontalDpi="600" verticalDpi="600" orientation="landscape" paperSize="9" scale="90"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dimension ref="A1:M14"/>
  <sheetViews>
    <sheetView zoomScalePageLayoutView="0" workbookViewId="0" topLeftCell="A1">
      <selection activeCell="B9" sqref="B9"/>
    </sheetView>
  </sheetViews>
  <sheetFormatPr defaultColWidth="7.99609375" defaultRowHeight="16.5"/>
  <cols>
    <col min="1" max="1" width="3.99609375" style="85" customWidth="1"/>
    <col min="2" max="2" width="38.21484375" style="92" customWidth="1"/>
    <col min="3" max="3" width="10.3359375" style="85" customWidth="1"/>
    <col min="4" max="4" width="11.3359375" style="85" customWidth="1"/>
    <col min="5" max="5" width="14.21484375" style="85" customWidth="1"/>
    <col min="6" max="6" width="8.21484375" style="85" customWidth="1"/>
    <col min="7" max="7" width="10.6640625" style="85" customWidth="1"/>
    <col min="8" max="8" width="9.88671875" style="85" customWidth="1"/>
    <col min="9" max="9" width="10.3359375" style="85" customWidth="1"/>
    <col min="10" max="10" width="10.77734375" style="85" customWidth="1"/>
    <col min="11" max="16384" width="7.99609375" style="85" customWidth="1"/>
  </cols>
  <sheetData>
    <row r="1" spans="1:11" ht="24" customHeight="1">
      <c r="A1" s="237" t="s">
        <v>16</v>
      </c>
      <c r="B1" s="237"/>
      <c r="C1" s="237"/>
      <c r="D1" s="237"/>
      <c r="E1" s="237"/>
      <c r="F1" s="237"/>
      <c r="G1" s="237"/>
      <c r="H1" s="237"/>
      <c r="I1" s="237"/>
      <c r="J1" s="237"/>
      <c r="K1" s="237"/>
    </row>
    <row r="2" spans="1:11" ht="21.75" customHeight="1">
      <c r="A2" s="237" t="s">
        <v>503</v>
      </c>
      <c r="B2" s="237"/>
      <c r="C2" s="237"/>
      <c r="D2" s="237"/>
      <c r="E2" s="237"/>
      <c r="F2" s="237"/>
      <c r="G2" s="237"/>
      <c r="H2" s="237"/>
      <c r="I2" s="237"/>
      <c r="J2" s="237"/>
      <c r="K2" s="237"/>
    </row>
    <row r="3" spans="1:11" ht="21.75" customHeight="1">
      <c r="A3" s="237" t="s">
        <v>348</v>
      </c>
      <c r="B3" s="237"/>
      <c r="C3" s="237"/>
      <c r="D3" s="237"/>
      <c r="E3" s="237"/>
      <c r="F3" s="237"/>
      <c r="G3" s="237"/>
      <c r="H3" s="237"/>
      <c r="I3" s="237"/>
      <c r="J3" s="237"/>
      <c r="K3" s="237"/>
    </row>
    <row r="4" spans="1:11" ht="21.75" customHeight="1">
      <c r="A4" s="238" t="str">
        <f>'Biểu 04a'!A4:N4</f>
        <v>(Kèm theo Nghị quyết số 86/NĐ-HĐND ngày 18 tháng 12 năm 2015 của HĐND huyện Sông Mã)</v>
      </c>
      <c r="B4" s="238"/>
      <c r="C4" s="238"/>
      <c r="D4" s="238"/>
      <c r="E4" s="238"/>
      <c r="F4" s="238"/>
      <c r="G4" s="238"/>
      <c r="H4" s="238"/>
      <c r="I4" s="238"/>
      <c r="J4" s="238"/>
      <c r="K4" s="238"/>
    </row>
    <row r="5" spans="1:11" ht="16.5" customHeight="1" thickBot="1">
      <c r="A5" s="85" t="s">
        <v>138</v>
      </c>
      <c r="H5" s="439"/>
      <c r="I5" s="345" t="s">
        <v>149</v>
      </c>
      <c r="J5" s="345"/>
      <c r="K5" s="345"/>
    </row>
    <row r="6" spans="1:11" ht="72" customHeight="1">
      <c r="A6" s="444" t="s">
        <v>97</v>
      </c>
      <c r="B6" s="445" t="s">
        <v>310</v>
      </c>
      <c r="C6" s="446" t="s">
        <v>349</v>
      </c>
      <c r="D6" s="446" t="s">
        <v>350</v>
      </c>
      <c r="E6" s="446" t="s">
        <v>334</v>
      </c>
      <c r="F6" s="446" t="s">
        <v>351</v>
      </c>
      <c r="G6" s="446" t="s">
        <v>415</v>
      </c>
      <c r="H6" s="446" t="s">
        <v>416</v>
      </c>
      <c r="I6" s="446" t="s">
        <v>417</v>
      </c>
      <c r="J6" s="446" t="s">
        <v>404</v>
      </c>
      <c r="K6" s="447" t="s">
        <v>144</v>
      </c>
    </row>
    <row r="7" spans="1:11" ht="28.5" customHeight="1">
      <c r="A7" s="387"/>
      <c r="B7" s="397" t="s">
        <v>524</v>
      </c>
      <c r="C7" s="371"/>
      <c r="D7" s="371"/>
      <c r="E7" s="371"/>
      <c r="F7" s="451"/>
      <c r="G7" s="437">
        <f>G8+G10</f>
        <v>3113906</v>
      </c>
      <c r="H7" s="437">
        <f>H8+H10</f>
        <v>443906</v>
      </c>
      <c r="I7" s="437">
        <f>I8+I10</f>
        <v>375139</v>
      </c>
      <c r="J7" s="437">
        <f>J8+J10</f>
        <v>842000</v>
      </c>
      <c r="K7" s="440"/>
    </row>
    <row r="8" spans="1:11" ht="27.75" customHeight="1">
      <c r="A8" s="387" t="s">
        <v>99</v>
      </c>
      <c r="B8" s="398" t="s">
        <v>17</v>
      </c>
      <c r="C8" s="371"/>
      <c r="D8" s="371"/>
      <c r="E8" s="371"/>
      <c r="F8" s="437">
        <f>SUM(F9:F10)</f>
        <v>10</v>
      </c>
      <c r="G8" s="452">
        <f>SUM(G9:G9)</f>
        <v>443906</v>
      </c>
      <c r="H8" s="452">
        <f>SUM(H9:H9)</f>
        <v>443906</v>
      </c>
      <c r="I8" s="452">
        <f>SUM(I9:I9)</f>
        <v>375139</v>
      </c>
      <c r="J8" s="452">
        <f>SUM(J9:J9)</f>
        <v>68760</v>
      </c>
      <c r="K8" s="453"/>
    </row>
    <row r="9" spans="1:11" ht="28.5" customHeight="1">
      <c r="A9" s="388">
        <v>1</v>
      </c>
      <c r="B9" s="374" t="s">
        <v>19</v>
      </c>
      <c r="C9" s="373" t="s">
        <v>20</v>
      </c>
      <c r="D9" s="373" t="s">
        <v>110</v>
      </c>
      <c r="E9" s="375" t="s">
        <v>352</v>
      </c>
      <c r="F9" s="450">
        <v>10</v>
      </c>
      <c r="G9" s="438">
        <v>443906</v>
      </c>
      <c r="H9" s="438">
        <v>443906</v>
      </c>
      <c r="I9" s="438">
        <v>375139</v>
      </c>
      <c r="J9" s="438">
        <v>68760</v>
      </c>
      <c r="K9" s="441"/>
    </row>
    <row r="10" spans="1:11" s="128" customFormat="1" ht="27.75" customHeight="1">
      <c r="A10" s="387" t="s">
        <v>100</v>
      </c>
      <c r="B10" s="449" t="s">
        <v>18</v>
      </c>
      <c r="C10" s="371"/>
      <c r="D10" s="371"/>
      <c r="E10" s="448"/>
      <c r="F10" s="454"/>
      <c r="G10" s="437">
        <f>SUM(G11:G13)</f>
        <v>2670000</v>
      </c>
      <c r="H10" s="437"/>
      <c r="I10" s="437">
        <f>SUM(I11:I13)</f>
        <v>0</v>
      </c>
      <c r="J10" s="437">
        <f>SUM(J11:J13)</f>
        <v>773240</v>
      </c>
      <c r="K10" s="311"/>
    </row>
    <row r="11" spans="1:13" ht="33.75" customHeight="1">
      <c r="A11" s="388">
        <v>1</v>
      </c>
      <c r="B11" s="374" t="s">
        <v>418</v>
      </c>
      <c r="C11" s="373" t="s">
        <v>20</v>
      </c>
      <c r="D11" s="373" t="s">
        <v>363</v>
      </c>
      <c r="E11" s="375" t="s">
        <v>352</v>
      </c>
      <c r="F11" s="438"/>
      <c r="G11" s="438">
        <v>1040000</v>
      </c>
      <c r="H11" s="438"/>
      <c r="I11" s="438"/>
      <c r="J11" s="438">
        <f>242680+45200</f>
        <v>287880</v>
      </c>
      <c r="K11" s="311"/>
      <c r="L11" s="129"/>
      <c r="M11" s="129"/>
    </row>
    <row r="12" spans="1:13" ht="33.75" customHeight="1">
      <c r="A12" s="388">
        <v>2</v>
      </c>
      <c r="B12" s="374" t="s">
        <v>419</v>
      </c>
      <c r="C12" s="373" t="s">
        <v>20</v>
      </c>
      <c r="D12" s="373" t="s">
        <v>409</v>
      </c>
      <c r="E12" s="375" t="s">
        <v>352</v>
      </c>
      <c r="F12" s="438"/>
      <c r="G12" s="438">
        <v>800000</v>
      </c>
      <c r="H12" s="438"/>
      <c r="I12" s="438"/>
      <c r="J12" s="438">
        <v>242680</v>
      </c>
      <c r="K12" s="311"/>
      <c r="L12" s="129"/>
      <c r="M12" s="129"/>
    </row>
    <row r="13" spans="1:13" ht="37.5" customHeight="1" thickBot="1">
      <c r="A13" s="390">
        <v>3</v>
      </c>
      <c r="B13" s="391" t="s">
        <v>420</v>
      </c>
      <c r="C13" s="393" t="s">
        <v>20</v>
      </c>
      <c r="D13" s="393" t="s">
        <v>421</v>
      </c>
      <c r="E13" s="392" t="s">
        <v>352</v>
      </c>
      <c r="F13" s="442"/>
      <c r="G13" s="442">
        <v>830000</v>
      </c>
      <c r="H13" s="442"/>
      <c r="I13" s="442"/>
      <c r="J13" s="442">
        <v>242680</v>
      </c>
      <c r="K13" s="443"/>
      <c r="L13" s="129"/>
      <c r="M13" s="129"/>
    </row>
    <row r="14" ht="15.75">
      <c r="K14" s="130"/>
    </row>
  </sheetData>
  <sheetProtection/>
  <mergeCells count="5">
    <mergeCell ref="A1:K1"/>
    <mergeCell ref="A2:K2"/>
    <mergeCell ref="A3:K3"/>
    <mergeCell ref="A4:K4"/>
    <mergeCell ref="I5:K5"/>
  </mergeCells>
  <printOptions horizontalCentered="1"/>
  <pageMargins left="0" right="0" top="0.5" bottom="0.5" header="0.3" footer="0.3"/>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K18"/>
  <sheetViews>
    <sheetView zoomScalePageLayoutView="0" workbookViewId="0" topLeftCell="A1">
      <selection activeCell="B5" sqref="B5"/>
    </sheetView>
  </sheetViews>
  <sheetFormatPr defaultColWidth="7.99609375" defaultRowHeight="16.5"/>
  <cols>
    <col min="1" max="1" width="3.99609375" style="85" customWidth="1"/>
    <col min="2" max="2" width="38.21484375" style="92" customWidth="1"/>
    <col min="3" max="3" width="8.88671875" style="85" customWidth="1"/>
    <col min="4" max="4" width="12.10546875" style="85" customWidth="1"/>
    <col min="5" max="5" width="14.21484375" style="85" customWidth="1"/>
    <col min="6" max="6" width="12.99609375" style="85" customWidth="1"/>
    <col min="7" max="7" width="10.5546875" style="85" customWidth="1"/>
    <col min="8" max="8" width="11.21484375" style="85" customWidth="1"/>
    <col min="9" max="9" width="9.10546875" style="85" customWidth="1"/>
    <col min="10" max="10" width="8.99609375" style="85" bestFit="1" customWidth="1"/>
    <col min="11" max="16384" width="7.99609375" style="85" customWidth="1"/>
  </cols>
  <sheetData>
    <row r="1" spans="1:11" ht="21.75" customHeight="1">
      <c r="A1" s="237" t="s">
        <v>21</v>
      </c>
      <c r="B1" s="237"/>
      <c r="C1" s="237"/>
      <c r="D1" s="237"/>
      <c r="E1" s="237"/>
      <c r="F1" s="237"/>
      <c r="G1" s="237"/>
      <c r="H1" s="237"/>
      <c r="I1" s="237"/>
      <c r="J1" s="83"/>
      <c r="K1" s="83"/>
    </row>
    <row r="2" spans="1:11" ht="21.75" customHeight="1">
      <c r="A2" s="237" t="s">
        <v>504</v>
      </c>
      <c r="B2" s="237"/>
      <c r="C2" s="237"/>
      <c r="D2" s="237"/>
      <c r="E2" s="237"/>
      <c r="F2" s="237"/>
      <c r="G2" s="237"/>
      <c r="H2" s="237"/>
      <c r="I2" s="237"/>
      <c r="J2" s="83"/>
      <c r="K2" s="83"/>
    </row>
    <row r="3" spans="1:11" ht="21.75" customHeight="1">
      <c r="A3" s="238" t="str">
        <f>'Biểu o4b '!A4:K4</f>
        <v>(Kèm theo Nghị quyết số 86/NĐ-HĐND ngày 18 tháng 12 năm 2015 của HĐND huyện Sông Mã)</v>
      </c>
      <c r="B3" s="238"/>
      <c r="C3" s="238"/>
      <c r="D3" s="238"/>
      <c r="E3" s="238"/>
      <c r="F3" s="238"/>
      <c r="G3" s="238"/>
      <c r="H3" s="238"/>
      <c r="I3" s="238"/>
      <c r="J3" s="83"/>
      <c r="K3" s="83"/>
    </row>
    <row r="4" spans="1:9" ht="16.5" thickBot="1">
      <c r="A4" s="85" t="s">
        <v>138</v>
      </c>
      <c r="H4" s="345" t="s">
        <v>149</v>
      </c>
      <c r="I4" s="345"/>
    </row>
    <row r="5" spans="1:9" ht="36" customHeight="1">
      <c r="A5" s="444" t="s">
        <v>97</v>
      </c>
      <c r="B5" s="445" t="s">
        <v>310</v>
      </c>
      <c r="C5" s="446" t="s">
        <v>349</v>
      </c>
      <c r="D5" s="446" t="s">
        <v>350</v>
      </c>
      <c r="E5" s="446" t="s">
        <v>334</v>
      </c>
      <c r="F5" s="446" t="s">
        <v>415</v>
      </c>
      <c r="G5" s="446" t="s">
        <v>417</v>
      </c>
      <c r="H5" s="446" t="s">
        <v>404</v>
      </c>
      <c r="I5" s="447" t="s">
        <v>144</v>
      </c>
    </row>
    <row r="6" spans="1:9" ht="23.25" customHeight="1">
      <c r="A6" s="387"/>
      <c r="B6" s="397" t="s">
        <v>524</v>
      </c>
      <c r="C6" s="371"/>
      <c r="D6" s="371"/>
      <c r="E6" s="371"/>
      <c r="F6" s="437">
        <f>F7+F12</f>
        <v>7743215</v>
      </c>
      <c r="G6" s="437">
        <f>G7+G12</f>
        <v>1412000</v>
      </c>
      <c r="H6" s="437">
        <f>H7+H12</f>
        <v>2770000</v>
      </c>
      <c r="I6" s="440"/>
    </row>
    <row r="7" spans="1:9" ht="24.75" customHeight="1">
      <c r="A7" s="387" t="s">
        <v>99</v>
      </c>
      <c r="B7" s="398" t="s">
        <v>17</v>
      </c>
      <c r="C7" s="371"/>
      <c r="D7" s="371"/>
      <c r="E7" s="371"/>
      <c r="F7" s="437">
        <f>SUM(F8:F11)</f>
        <v>2053215</v>
      </c>
      <c r="G7" s="437">
        <f>SUM(G8:G11)</f>
        <v>1412000</v>
      </c>
      <c r="H7" s="437">
        <f>SUM(H8:H11)</f>
        <v>641200</v>
      </c>
      <c r="I7" s="440"/>
    </row>
    <row r="8" spans="1:9" ht="30.75" customHeight="1">
      <c r="A8" s="388">
        <v>1</v>
      </c>
      <c r="B8" s="374" t="s">
        <v>422</v>
      </c>
      <c r="C8" s="373" t="s">
        <v>20</v>
      </c>
      <c r="D8" s="373" t="s">
        <v>22</v>
      </c>
      <c r="E8" s="375" t="s">
        <v>352</v>
      </c>
      <c r="F8" s="438">
        <v>825312</v>
      </c>
      <c r="G8" s="438">
        <v>550000</v>
      </c>
      <c r="H8" s="438">
        <f>+F8-G8-2</f>
        <v>275310</v>
      </c>
      <c r="I8" s="441"/>
    </row>
    <row r="9" spans="1:9" ht="36" customHeight="1">
      <c r="A9" s="388">
        <v>2</v>
      </c>
      <c r="B9" s="374" t="s">
        <v>423</v>
      </c>
      <c r="C9" s="373" t="s">
        <v>20</v>
      </c>
      <c r="D9" s="373" t="s">
        <v>23</v>
      </c>
      <c r="E9" s="375" t="s">
        <v>352</v>
      </c>
      <c r="F9" s="438">
        <v>245703</v>
      </c>
      <c r="G9" s="438">
        <v>180000</v>
      </c>
      <c r="H9" s="438">
        <f>+F9-G9-3</f>
        <v>65700</v>
      </c>
      <c r="I9" s="441"/>
    </row>
    <row r="10" spans="1:9" ht="36" customHeight="1">
      <c r="A10" s="388">
        <v>3</v>
      </c>
      <c r="B10" s="374" t="s">
        <v>424</v>
      </c>
      <c r="C10" s="373" t="s">
        <v>20</v>
      </c>
      <c r="D10" s="373" t="s">
        <v>24</v>
      </c>
      <c r="E10" s="375" t="s">
        <v>352</v>
      </c>
      <c r="F10" s="438">
        <v>787321</v>
      </c>
      <c r="G10" s="438">
        <v>550000</v>
      </c>
      <c r="H10" s="438">
        <f>+F10-G10-1</f>
        <v>237320</v>
      </c>
      <c r="I10" s="441"/>
    </row>
    <row r="11" spans="1:9" ht="34.5" customHeight="1">
      <c r="A11" s="388">
        <v>4</v>
      </c>
      <c r="B11" s="374" t="s">
        <v>425</v>
      </c>
      <c r="C11" s="373" t="s">
        <v>20</v>
      </c>
      <c r="D11" s="373" t="s">
        <v>25</v>
      </c>
      <c r="E11" s="375" t="s">
        <v>352</v>
      </c>
      <c r="F11" s="438">
        <v>194879</v>
      </c>
      <c r="G11" s="438">
        <v>132000</v>
      </c>
      <c r="H11" s="438">
        <f>+F11-G11-9</f>
        <v>62870</v>
      </c>
      <c r="I11" s="441"/>
    </row>
    <row r="12" spans="1:9" ht="24" customHeight="1">
      <c r="A12" s="387" t="s">
        <v>100</v>
      </c>
      <c r="B12" s="398" t="s">
        <v>18</v>
      </c>
      <c r="C12" s="371"/>
      <c r="D12" s="371"/>
      <c r="E12" s="371"/>
      <c r="F12" s="437">
        <f>SUM(F13:F18)</f>
        <v>5690000</v>
      </c>
      <c r="G12" s="437"/>
      <c r="H12" s="437">
        <f>SUM(H13:H18)</f>
        <v>2128800</v>
      </c>
      <c r="I12" s="441"/>
    </row>
    <row r="13" spans="1:9" ht="32.25" customHeight="1">
      <c r="A13" s="388">
        <v>1</v>
      </c>
      <c r="B13" s="374" t="s">
        <v>418</v>
      </c>
      <c r="C13" s="373" t="s">
        <v>20</v>
      </c>
      <c r="D13" s="373" t="s">
        <v>26</v>
      </c>
      <c r="E13" s="375" t="s">
        <v>352</v>
      </c>
      <c r="F13" s="438">
        <v>1040000</v>
      </c>
      <c r="G13" s="438"/>
      <c r="H13" s="438">
        <v>338800</v>
      </c>
      <c r="I13" s="441"/>
    </row>
    <row r="14" spans="1:9" ht="33" customHeight="1">
      <c r="A14" s="388">
        <v>2</v>
      </c>
      <c r="B14" s="374" t="s">
        <v>419</v>
      </c>
      <c r="C14" s="373" t="s">
        <v>20</v>
      </c>
      <c r="D14" s="373" t="s">
        <v>5</v>
      </c>
      <c r="E14" s="375" t="s">
        <v>352</v>
      </c>
      <c r="F14" s="438">
        <v>800000</v>
      </c>
      <c r="G14" s="438"/>
      <c r="H14" s="438">
        <v>250000</v>
      </c>
      <c r="I14" s="441"/>
    </row>
    <row r="15" spans="1:9" ht="31.5" customHeight="1">
      <c r="A15" s="388">
        <v>3</v>
      </c>
      <c r="B15" s="374" t="s">
        <v>420</v>
      </c>
      <c r="C15" s="373" t="s">
        <v>20</v>
      </c>
      <c r="D15" s="373" t="s">
        <v>27</v>
      </c>
      <c r="E15" s="375" t="s">
        <v>352</v>
      </c>
      <c r="F15" s="438">
        <v>830000</v>
      </c>
      <c r="G15" s="438"/>
      <c r="H15" s="438">
        <v>250000</v>
      </c>
      <c r="I15" s="441"/>
    </row>
    <row r="16" spans="1:9" ht="33.75" customHeight="1">
      <c r="A16" s="388">
        <v>4</v>
      </c>
      <c r="B16" s="374" t="s">
        <v>426</v>
      </c>
      <c r="C16" s="373" t="s">
        <v>20</v>
      </c>
      <c r="D16" s="373" t="s">
        <v>28</v>
      </c>
      <c r="E16" s="375" t="s">
        <v>352</v>
      </c>
      <c r="F16" s="438">
        <v>1020000</v>
      </c>
      <c r="G16" s="438"/>
      <c r="H16" s="438">
        <v>340000</v>
      </c>
      <c r="I16" s="441"/>
    </row>
    <row r="17" spans="1:9" ht="33" customHeight="1">
      <c r="A17" s="388">
        <v>5</v>
      </c>
      <c r="B17" s="374" t="s">
        <v>427</v>
      </c>
      <c r="C17" s="373" t="s">
        <v>20</v>
      </c>
      <c r="D17" s="373" t="s">
        <v>23</v>
      </c>
      <c r="E17" s="375" t="s">
        <v>352</v>
      </c>
      <c r="F17" s="438">
        <v>800000</v>
      </c>
      <c r="G17" s="438"/>
      <c r="H17" s="438">
        <v>400000</v>
      </c>
      <c r="I17" s="441"/>
    </row>
    <row r="18" spans="1:9" ht="33.75" customHeight="1" thickBot="1">
      <c r="A18" s="390">
        <v>6</v>
      </c>
      <c r="B18" s="391" t="s">
        <v>428</v>
      </c>
      <c r="C18" s="393" t="s">
        <v>20</v>
      </c>
      <c r="D18" s="393" t="s">
        <v>24</v>
      </c>
      <c r="E18" s="392" t="s">
        <v>352</v>
      </c>
      <c r="F18" s="442">
        <v>1200000</v>
      </c>
      <c r="G18" s="442"/>
      <c r="H18" s="442">
        <v>550000</v>
      </c>
      <c r="I18" s="455"/>
    </row>
  </sheetData>
  <sheetProtection/>
  <mergeCells count="4">
    <mergeCell ref="H4:I4"/>
    <mergeCell ref="A1:I1"/>
    <mergeCell ref="A2:I2"/>
    <mergeCell ref="A3:I3"/>
  </mergeCells>
  <printOptions horizontalCentered="1"/>
  <pageMargins left="0" right="0" top="0.5118110236220472" bottom="0.5118110236220472" header="0.31496062992125984" footer="0.31496062992125984"/>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J23"/>
  <sheetViews>
    <sheetView zoomScalePageLayoutView="0" workbookViewId="0" topLeftCell="A1">
      <selection activeCell="C18" sqref="C18"/>
    </sheetView>
  </sheetViews>
  <sheetFormatPr defaultColWidth="7.99609375" defaultRowHeight="16.5"/>
  <cols>
    <col min="1" max="1" width="4.88671875" style="93" customWidth="1"/>
    <col min="2" max="2" width="47.10546875" style="96" customWidth="1"/>
    <col min="3" max="3" width="11.6640625" style="96" customWidth="1"/>
    <col min="4" max="4" width="11.88671875" style="96" customWidth="1"/>
    <col min="5" max="5" width="9.10546875" style="93" customWidth="1"/>
    <col min="6" max="6" width="12.77734375" style="93" customWidth="1"/>
    <col min="7" max="7" width="9.88671875" style="93" customWidth="1"/>
    <col min="8" max="16384" width="7.99609375" style="93" customWidth="1"/>
  </cols>
  <sheetData>
    <row r="1" spans="1:7" ht="20.25" customHeight="1">
      <c r="A1" s="456" t="s">
        <v>282</v>
      </c>
      <c r="B1" s="457"/>
      <c r="C1" s="457"/>
      <c r="D1" s="457"/>
      <c r="E1" s="457"/>
      <c r="F1" s="457"/>
      <c r="G1" s="457"/>
    </row>
    <row r="2" spans="1:7" ht="20.25" customHeight="1">
      <c r="A2" s="241" t="s">
        <v>505</v>
      </c>
      <c r="B2" s="242"/>
      <c r="C2" s="242"/>
      <c r="D2" s="242"/>
      <c r="E2" s="242"/>
      <c r="F2" s="242"/>
      <c r="G2" s="242"/>
    </row>
    <row r="3" spans="1:7" ht="20.25" customHeight="1">
      <c r="A3" s="243" t="str">
        <f>'Biểu o4b '!A4:I4</f>
        <v>(Kèm theo Nghị quyết số 86/NĐ-HĐND ngày 18 tháng 12 năm 2015 của HĐND huyện Sông Mã)</v>
      </c>
      <c r="B3" s="244"/>
      <c r="C3" s="244"/>
      <c r="D3" s="244"/>
      <c r="E3" s="244"/>
      <c r="F3" s="244"/>
      <c r="G3" s="244"/>
    </row>
    <row r="4" spans="1:7" ht="20.25" customHeight="1" thickBot="1">
      <c r="A4" s="94"/>
      <c r="B4" s="95"/>
      <c r="C4" s="95"/>
      <c r="D4" s="95"/>
      <c r="E4" s="94"/>
      <c r="F4" s="94"/>
      <c r="G4" s="458" t="s">
        <v>149</v>
      </c>
    </row>
    <row r="5" spans="1:7" s="131" customFormat="1" ht="15.75">
      <c r="A5" s="346" t="s">
        <v>97</v>
      </c>
      <c r="B5" s="347" t="s">
        <v>121</v>
      </c>
      <c r="C5" s="347" t="s">
        <v>353</v>
      </c>
      <c r="D5" s="347" t="s">
        <v>354</v>
      </c>
      <c r="E5" s="347" t="s">
        <v>355</v>
      </c>
      <c r="F5" s="347" t="s">
        <v>374</v>
      </c>
      <c r="G5" s="348" t="s">
        <v>144</v>
      </c>
    </row>
    <row r="6" spans="1:7" s="131" customFormat="1" ht="24.75" customHeight="1">
      <c r="A6" s="463"/>
      <c r="B6" s="351"/>
      <c r="C6" s="351"/>
      <c r="D6" s="351"/>
      <c r="E6" s="351"/>
      <c r="F6" s="351"/>
      <c r="G6" s="354"/>
    </row>
    <row r="7" spans="1:7" s="132" customFormat="1" ht="16.5" customHeight="1">
      <c r="A7" s="464">
        <v>1</v>
      </c>
      <c r="B7" s="465">
        <v>2</v>
      </c>
      <c r="C7" s="465">
        <v>3</v>
      </c>
      <c r="D7" s="465">
        <v>4</v>
      </c>
      <c r="E7" s="465">
        <v>5</v>
      </c>
      <c r="F7" s="465">
        <v>6</v>
      </c>
      <c r="G7" s="466">
        <v>7</v>
      </c>
    </row>
    <row r="8" spans="1:7" s="131" customFormat="1" ht="27.75" customHeight="1">
      <c r="A8" s="467"/>
      <c r="B8" s="468" t="s">
        <v>524</v>
      </c>
      <c r="C8" s="468"/>
      <c r="D8" s="468"/>
      <c r="E8" s="355"/>
      <c r="F8" s="355">
        <f>SUM(F9,F21)</f>
        <v>1214000</v>
      </c>
      <c r="G8" s="479"/>
    </row>
    <row r="9" spans="1:7" s="131" customFormat="1" ht="27.75" customHeight="1">
      <c r="A9" s="467" t="s">
        <v>99</v>
      </c>
      <c r="B9" s="476" t="s">
        <v>29</v>
      </c>
      <c r="C9" s="468"/>
      <c r="D9" s="468"/>
      <c r="E9" s="355"/>
      <c r="F9" s="355">
        <f>SUM(F10:F16,F19:F20)</f>
        <v>893850</v>
      </c>
      <c r="G9" s="479"/>
    </row>
    <row r="10" spans="1:9" s="132" customFormat="1" ht="23.25" customHeight="1">
      <c r="A10" s="469">
        <v>1</v>
      </c>
      <c r="B10" s="470" t="s">
        <v>356</v>
      </c>
      <c r="C10" s="471" t="s">
        <v>34</v>
      </c>
      <c r="D10" s="471" t="s">
        <v>37</v>
      </c>
      <c r="E10" s="480">
        <v>39</v>
      </c>
      <c r="F10" s="359">
        <f>E10*5000</f>
        <v>195000</v>
      </c>
      <c r="G10" s="481"/>
      <c r="I10" s="133"/>
    </row>
    <row r="11" spans="1:8" s="132" customFormat="1" ht="21" customHeight="1">
      <c r="A11" s="472">
        <v>2</v>
      </c>
      <c r="B11" s="473" t="s">
        <v>429</v>
      </c>
      <c r="C11" s="471" t="s">
        <v>34</v>
      </c>
      <c r="D11" s="471" t="s">
        <v>38</v>
      </c>
      <c r="E11" s="482">
        <v>15.3</v>
      </c>
      <c r="F11" s="359">
        <f>E11*5000</f>
        <v>76500</v>
      </c>
      <c r="G11" s="481"/>
      <c r="H11" s="200"/>
    </row>
    <row r="12" spans="1:10" s="132" customFormat="1" ht="21" customHeight="1">
      <c r="A12" s="469">
        <v>3</v>
      </c>
      <c r="B12" s="473" t="s">
        <v>357</v>
      </c>
      <c r="C12" s="471" t="s">
        <v>34</v>
      </c>
      <c r="D12" s="471" t="s">
        <v>39</v>
      </c>
      <c r="E12" s="482">
        <v>22</v>
      </c>
      <c r="F12" s="359">
        <f aca="true" t="shared" si="0" ref="F12:F20">E12*5000</f>
        <v>110000</v>
      </c>
      <c r="G12" s="481"/>
      <c r="H12" s="93"/>
      <c r="I12" s="93"/>
      <c r="J12" s="93"/>
    </row>
    <row r="13" spans="1:10" s="132" customFormat="1" ht="21" customHeight="1">
      <c r="A13" s="472">
        <v>4</v>
      </c>
      <c r="B13" s="473" t="s">
        <v>358</v>
      </c>
      <c r="C13" s="471" t="s">
        <v>34</v>
      </c>
      <c r="D13" s="471" t="s">
        <v>40</v>
      </c>
      <c r="E13" s="482">
        <v>16.5</v>
      </c>
      <c r="F13" s="359">
        <f t="shared" si="0"/>
        <v>82500</v>
      </c>
      <c r="G13" s="481"/>
      <c r="H13" s="93"/>
      <c r="I13" s="93"/>
      <c r="J13" s="93"/>
    </row>
    <row r="14" spans="1:10" s="132" customFormat="1" ht="35.25" customHeight="1">
      <c r="A14" s="469">
        <v>5</v>
      </c>
      <c r="B14" s="473" t="s">
        <v>359</v>
      </c>
      <c r="C14" s="471" t="s">
        <v>35</v>
      </c>
      <c r="D14" s="471" t="s">
        <v>41</v>
      </c>
      <c r="E14" s="482">
        <v>11</v>
      </c>
      <c r="F14" s="359">
        <f t="shared" si="0"/>
        <v>55000</v>
      </c>
      <c r="G14" s="481"/>
      <c r="H14" s="93"/>
      <c r="I14" s="93"/>
      <c r="J14" s="93"/>
    </row>
    <row r="15" spans="1:10" s="132" customFormat="1" ht="23.25" customHeight="1">
      <c r="A15" s="472">
        <v>6</v>
      </c>
      <c r="B15" s="473" t="s">
        <v>360</v>
      </c>
      <c r="C15" s="471" t="s">
        <v>34</v>
      </c>
      <c r="D15" s="471" t="s">
        <v>42</v>
      </c>
      <c r="E15" s="482">
        <v>8.47</v>
      </c>
      <c r="F15" s="359">
        <f t="shared" si="0"/>
        <v>42350</v>
      </c>
      <c r="G15" s="481"/>
      <c r="H15" s="93"/>
      <c r="I15" s="93"/>
      <c r="J15" s="93"/>
    </row>
    <row r="16" spans="1:10" s="132" customFormat="1" ht="23.25" customHeight="1">
      <c r="A16" s="469">
        <v>7</v>
      </c>
      <c r="B16" s="473" t="s">
        <v>361</v>
      </c>
      <c r="C16" s="471"/>
      <c r="D16" s="471"/>
      <c r="E16" s="482">
        <v>58</v>
      </c>
      <c r="F16" s="359">
        <f>E16*5000</f>
        <v>290000</v>
      </c>
      <c r="G16" s="481"/>
      <c r="H16" s="93"/>
      <c r="I16" s="93"/>
      <c r="J16" s="93"/>
    </row>
    <row r="17" spans="1:10" s="132" customFormat="1" ht="23.25" customHeight="1">
      <c r="A17" s="472"/>
      <c r="B17" s="473" t="s">
        <v>31</v>
      </c>
      <c r="C17" s="471" t="s">
        <v>36</v>
      </c>
      <c r="D17" s="471" t="s">
        <v>43</v>
      </c>
      <c r="E17" s="482">
        <v>11.1</v>
      </c>
      <c r="F17" s="359">
        <f t="shared" si="0"/>
        <v>55500</v>
      </c>
      <c r="G17" s="481"/>
      <c r="H17" s="93"/>
      <c r="I17" s="93"/>
      <c r="J17" s="93"/>
    </row>
    <row r="18" spans="1:10" s="132" customFormat="1" ht="23.25" customHeight="1">
      <c r="A18" s="472"/>
      <c r="B18" s="473" t="s">
        <v>30</v>
      </c>
      <c r="C18" s="471" t="s">
        <v>34</v>
      </c>
      <c r="D18" s="471" t="s">
        <v>44</v>
      </c>
      <c r="E18" s="482">
        <v>46.8</v>
      </c>
      <c r="F18" s="359">
        <f t="shared" si="0"/>
        <v>234000</v>
      </c>
      <c r="G18" s="481"/>
      <c r="H18" s="93"/>
      <c r="I18" s="93"/>
      <c r="J18" s="93"/>
    </row>
    <row r="19" spans="1:10" s="132" customFormat="1" ht="23.25" customHeight="1">
      <c r="A19" s="472">
        <v>8</v>
      </c>
      <c r="B19" s="473" t="s">
        <v>32</v>
      </c>
      <c r="C19" s="471" t="s">
        <v>34</v>
      </c>
      <c r="D19" s="471" t="s">
        <v>45</v>
      </c>
      <c r="E19" s="482">
        <v>3.5</v>
      </c>
      <c r="F19" s="359">
        <f t="shared" si="0"/>
        <v>17500</v>
      </c>
      <c r="G19" s="481"/>
      <c r="H19" s="93"/>
      <c r="I19" s="93"/>
      <c r="J19" s="93"/>
    </row>
    <row r="20" spans="1:10" s="132" customFormat="1" ht="23.25" customHeight="1">
      <c r="A20" s="472">
        <v>9</v>
      </c>
      <c r="B20" s="478" t="s">
        <v>495</v>
      </c>
      <c r="C20" s="471" t="s">
        <v>496</v>
      </c>
      <c r="D20" s="471" t="s">
        <v>497</v>
      </c>
      <c r="E20" s="482">
        <v>5</v>
      </c>
      <c r="F20" s="359">
        <f t="shared" si="0"/>
        <v>25000</v>
      </c>
      <c r="G20" s="481"/>
      <c r="H20" s="93"/>
      <c r="I20" s="93"/>
      <c r="J20" s="93"/>
    </row>
    <row r="21" spans="1:10" s="131" customFormat="1" ht="27.75" customHeight="1" thickBot="1">
      <c r="A21" s="474" t="s">
        <v>100</v>
      </c>
      <c r="B21" s="477" t="s">
        <v>33</v>
      </c>
      <c r="C21" s="475"/>
      <c r="D21" s="475"/>
      <c r="E21" s="483"/>
      <c r="F21" s="483">
        <v>320150</v>
      </c>
      <c r="G21" s="484"/>
      <c r="H21" s="93"/>
      <c r="I21" s="93"/>
      <c r="J21" s="93"/>
    </row>
    <row r="22" spans="1:10" s="132" customFormat="1" ht="20.25" customHeight="1">
      <c r="A22" s="485"/>
      <c r="B22" s="487" t="s">
        <v>46</v>
      </c>
      <c r="C22" s="486"/>
      <c r="D22" s="486"/>
      <c r="H22" s="93"/>
      <c r="I22" s="93"/>
      <c r="J22" s="93"/>
    </row>
    <row r="23" spans="1:10" s="132" customFormat="1" ht="16.5">
      <c r="A23" s="257" t="s">
        <v>47</v>
      </c>
      <c r="B23" s="257"/>
      <c r="C23" s="257"/>
      <c r="D23" s="257"/>
      <c r="E23" s="257"/>
      <c r="F23" s="200"/>
      <c r="G23" s="200"/>
      <c r="H23" s="93"/>
      <c r="I23" s="93"/>
      <c r="J23" s="93"/>
    </row>
  </sheetData>
  <sheetProtection/>
  <mergeCells count="11">
    <mergeCell ref="E5:E6"/>
    <mergeCell ref="A23:E23"/>
    <mergeCell ref="F5:F6"/>
    <mergeCell ref="G5:G6"/>
    <mergeCell ref="A1:G1"/>
    <mergeCell ref="A2:G2"/>
    <mergeCell ref="A3:G3"/>
    <mergeCell ref="A5:A6"/>
    <mergeCell ref="B5:B6"/>
    <mergeCell ref="C5:C6"/>
    <mergeCell ref="D5:D6"/>
  </mergeCells>
  <printOptions horizontalCentered="1"/>
  <pageMargins left="0" right="0" top="0.5" bottom="0.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Cong ty Co phan May tinh 68</cp:lastModifiedBy>
  <cp:lastPrinted>2016-01-21T09:49:25Z</cp:lastPrinted>
  <dcterms:created xsi:type="dcterms:W3CDTF">2008-12-09T12:52:15Z</dcterms:created>
  <dcterms:modified xsi:type="dcterms:W3CDTF">2016-01-21T09:52:47Z</dcterms:modified>
  <cp:category/>
  <cp:version/>
  <cp:contentType/>
  <cp:contentStatus/>
</cp:coreProperties>
</file>